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L-DC2\HeatlinkFiles\Media\L4000 (Price Lists)\TMP-Multi Price Calculator\"/>
    </mc:Choice>
  </mc:AlternateContent>
  <xr:revisionPtr revIDLastSave="0" documentId="13_ncr:1_{AE3EB66D-8E32-4279-A827-D5A7D35245D3}" xr6:coauthVersionLast="47" xr6:coauthVersionMax="47" xr10:uidLastSave="{00000000-0000-0000-0000-000000000000}"/>
  <bookViews>
    <workbookView xWindow="-120" yWindow="-120" windowWidth="29040" windowHeight="15720" activeTab="1" xr2:uid="{00000000-000D-0000-FFFF-FFFF00000000}"/>
  </bookViews>
  <sheets>
    <sheet name="Sizing" sheetId="2" r:id="rId1"/>
    <sheet name="Configuration Known" sheetId="1" r:id="rId2"/>
  </sheets>
  <definedNames>
    <definedName name="_xlnm.Print_Area" localSheetId="1">'Configuration Known'!$A$1:$N$44</definedName>
    <definedName name="_xlnm.Print_Area" localSheetId="0">Sizing!$A$1:$N$158</definedName>
    <definedName name="Z_34F90286_F076_42FE_8B9A_459ED7A2CFE9_.wvu.PrintArea" localSheetId="1" hidden="1">'Configuration Known'!$A$1:$N$44</definedName>
    <definedName name="Z_34F90286_F076_42FE_8B9A_459ED7A2CFE9_.wvu.PrintArea" localSheetId="0" hidden="1">Sizing!$A$1:$N$158</definedName>
    <definedName name="Z_3D818CDD_1138_4CEC_9E38_71A86998A628_.wvu.Cols" localSheetId="0" hidden="1">Sizing!$J:$P</definedName>
    <definedName name="Z_3D818CDD_1138_4CEC_9E38_71A86998A628_.wvu.PrintArea" localSheetId="1" hidden="1">'Configuration Known'!$A$1:$N$44</definedName>
    <definedName name="Z_3D818CDD_1138_4CEC_9E38_71A86998A628_.wvu.PrintArea" localSheetId="0" hidden="1">Sizing!$A$1:$N$158</definedName>
    <definedName name="Z_3D818CDD_1138_4CEC_9E38_71A86998A628_.wvu.Rows" localSheetId="0" hidden="1">Sizing!$28:$86,Sizing!$94:$132,Sizing!$148:$152</definedName>
    <definedName name="Z_5936C0E4_460B_44CE_85BC_8E2DB9BD1C86_.wvu.Cols" localSheetId="1" hidden="1">'Configuration Known'!$J:$K,'Configuration Known'!$O:$R</definedName>
    <definedName name="Z_5936C0E4_460B_44CE_85BC_8E2DB9BD1C86_.wvu.Cols" localSheetId="0" hidden="1">Sizing!$J:$P</definedName>
    <definedName name="Z_5936C0E4_460B_44CE_85BC_8E2DB9BD1C86_.wvu.PrintArea" localSheetId="1" hidden="1">'Configuration Known'!$A$1:$N$44</definedName>
    <definedName name="Z_5936C0E4_460B_44CE_85BC_8E2DB9BD1C86_.wvu.PrintArea" localSheetId="0" hidden="1">Sizing!$A$1:$N$158</definedName>
    <definedName name="Z_5936C0E4_460B_44CE_85BC_8E2DB9BD1C86_.wvu.Rows" localSheetId="1" hidden="1">'Configuration Known'!$26:$38</definedName>
    <definedName name="Z_5936C0E4_460B_44CE_85BC_8E2DB9BD1C86_.wvu.Rows" localSheetId="0" hidden="1">Sizing!$28:$86,Sizing!$94:$132,Sizing!$148:$152</definedName>
    <definedName name="Z_AD529854_F0E6_4643_B652_60121491677F_.wvu.Cols" localSheetId="0" hidden="1">Sizing!$J:$P</definedName>
    <definedName name="Z_AD529854_F0E6_4643_B652_60121491677F_.wvu.PrintArea" localSheetId="1" hidden="1">'Configuration Known'!$A$1:$N$44</definedName>
    <definedName name="Z_AD529854_F0E6_4643_B652_60121491677F_.wvu.PrintArea" localSheetId="0" hidden="1">Sizing!$A$1:$N$158</definedName>
    <definedName name="Z_AD529854_F0E6_4643_B652_60121491677F_.wvu.Rows" localSheetId="0" hidden="1">Sizing!$28:$86,Sizing!$94:$132,Sizing!$148:$152</definedName>
  </definedNames>
  <calcPr calcId="191029"/>
  <customWorkbookViews>
    <customWorkbookView name="Config_Known_Work" guid="{3D818CDD-1138-4CEC-9E38-71A86998A628}" maximized="1" xWindow="-8" yWindow="-8" windowWidth="2576" windowHeight="1416" activeSheetId="1"/>
    <customWorkbookView name="Sizing_Work" guid="{34F90286-F076-42FE-8B9A-459ED7A2CFE9}" maximized="1" xWindow="-8" yWindow="-8" windowWidth="2576" windowHeight="1416" activeSheetId="2"/>
    <customWorkbookView name="Sizing_Done" guid="{AD529854-F0E6-4643-B652-60121491677F}" maximized="1" xWindow="-8" yWindow="-8" windowWidth="2576" windowHeight="1416" activeSheetId="2"/>
    <customWorkbookView name="Config_Known_Done" guid="{5936C0E4-460B-44CE-85BC-8E2DB9BD1C86}"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B29" i="1" s="1"/>
  <c r="B30" i="1" s="1"/>
  <c r="B44" i="1"/>
  <c r="C12" i="2" l="1"/>
  <c r="C7" i="1"/>
  <c r="H23" i="1" l="1"/>
  <c r="H22" i="1"/>
  <c r="B13" i="2" l="1"/>
  <c r="M150" i="2"/>
  <c r="M149" i="2"/>
  <c r="M23" i="1"/>
  <c r="M22" i="1"/>
  <c r="L150" i="2"/>
  <c r="L149" i="2"/>
  <c r="K150" i="2"/>
  <c r="K149" i="2"/>
  <c r="J150" i="2"/>
  <c r="J149" i="2"/>
  <c r="B8" i="1"/>
  <c r="L23" i="1"/>
  <c r="L22" i="1"/>
  <c r="N150" i="2" l="1"/>
  <c r="N149" i="2"/>
  <c r="J151" i="2"/>
  <c r="O150" i="2"/>
  <c r="O149" i="2"/>
  <c r="O22" i="1"/>
  <c r="J24" i="1"/>
  <c r="N23" i="1"/>
  <c r="N22" i="1"/>
  <c r="O23" i="1"/>
  <c r="H62" i="2"/>
  <c r="O151" i="2" l="1"/>
  <c r="O24" i="1"/>
  <c r="C156" i="2"/>
  <c r="C158" i="2" s="1"/>
  <c r="L140" i="2"/>
  <c r="L141" i="2"/>
  <c r="L142" i="2"/>
  <c r="L144" i="2"/>
  <c r="L145" i="2"/>
  <c r="L146" i="2"/>
  <c r="L147" i="2"/>
  <c r="L139" i="2"/>
  <c r="B11" i="2"/>
  <c r="L13" i="1"/>
  <c r="L14" i="1"/>
  <c r="L15" i="1"/>
  <c r="L17" i="1"/>
  <c r="L18" i="1"/>
  <c r="L19" i="1"/>
  <c r="L20" i="1"/>
  <c r="L12" i="1"/>
  <c r="C42" i="1"/>
  <c r="C44" i="1" s="1"/>
  <c r="B6" i="1" l="1"/>
  <c r="C80" i="2" l="1"/>
  <c r="B49" i="2" s="1"/>
  <c r="C79" i="2"/>
  <c r="B48" i="2" s="1"/>
  <c r="B80" i="2"/>
  <c r="B79" i="2"/>
  <c r="D37" i="2"/>
  <c r="E37" i="2"/>
  <c r="F37" i="2"/>
  <c r="G37" i="2"/>
  <c r="H37" i="2"/>
  <c r="C37" i="2"/>
  <c r="D53" i="2" l="1"/>
  <c r="E53" i="2"/>
  <c r="F53" i="2"/>
  <c r="G53" i="2"/>
  <c r="H53" i="2"/>
  <c r="C53" i="2"/>
  <c r="B45" i="2"/>
  <c r="B53" i="2" s="1"/>
  <c r="M24" i="2" l="1"/>
  <c r="M23" i="2"/>
  <c r="D59" i="2" l="1"/>
  <c r="D26" i="2" s="1"/>
  <c r="E59" i="2"/>
  <c r="E26" i="2" s="1"/>
  <c r="F59" i="2"/>
  <c r="F26" i="2" s="1"/>
  <c r="G59" i="2"/>
  <c r="G26" i="2" s="1"/>
  <c r="H59" i="2"/>
  <c r="C59" i="2"/>
  <c r="C26" i="2" s="1"/>
  <c r="D58" i="2"/>
  <c r="D27" i="2" s="1"/>
  <c r="E58" i="2"/>
  <c r="E27" i="2" s="1"/>
  <c r="F58" i="2"/>
  <c r="F27" i="2" s="1"/>
  <c r="G58" i="2"/>
  <c r="G27" i="2" s="1"/>
  <c r="H58" i="2"/>
  <c r="C58" i="2"/>
  <c r="C27" i="2" s="1"/>
  <c r="H28" i="1" l="1"/>
  <c r="G28" i="1"/>
  <c r="F28" i="1"/>
  <c r="F31" i="1" s="1"/>
  <c r="E28" i="1"/>
  <c r="E31" i="1" s="1"/>
  <c r="D28" i="1"/>
  <c r="D31" i="1" s="1"/>
  <c r="M19" i="1"/>
  <c r="K147" i="2"/>
  <c r="J147" i="2"/>
  <c r="B147" i="2"/>
  <c r="A147" i="2"/>
  <c r="K146" i="2"/>
  <c r="J146" i="2"/>
  <c r="B146" i="2"/>
  <c r="A146" i="2"/>
  <c r="K145" i="2"/>
  <c r="J145" i="2"/>
  <c r="B145" i="2"/>
  <c r="A145" i="2"/>
  <c r="K144" i="2"/>
  <c r="J144" i="2"/>
  <c r="B144" i="2"/>
  <c r="A144" i="2"/>
  <c r="C143" i="2"/>
  <c r="B143" i="2"/>
  <c r="A143" i="2"/>
  <c r="K142" i="2"/>
  <c r="B142" i="2"/>
  <c r="A142" i="2"/>
  <c r="K141" i="2"/>
  <c r="B141" i="2"/>
  <c r="A141" i="2"/>
  <c r="K140" i="2"/>
  <c r="B140" i="2"/>
  <c r="A140" i="2"/>
  <c r="K139" i="2"/>
  <c r="J139" i="2"/>
  <c r="B139" i="2"/>
  <c r="A139" i="2"/>
  <c r="B138" i="2"/>
  <c r="A138" i="2"/>
  <c r="N136" i="2"/>
  <c r="M136" i="2"/>
  <c r="L136" i="2"/>
  <c r="K136" i="2"/>
  <c r="J136" i="2"/>
  <c r="H136" i="2"/>
  <c r="G136" i="2"/>
  <c r="F136" i="2"/>
  <c r="E136" i="2"/>
  <c r="D136" i="2"/>
  <c r="B136" i="2"/>
  <c r="A136" i="2"/>
  <c r="C135" i="2"/>
  <c r="C115" i="2"/>
  <c r="B115" i="2"/>
  <c r="C114" i="2"/>
  <c r="B114" i="2"/>
  <c r="C113" i="2"/>
  <c r="B113" i="2"/>
  <c r="C112" i="2"/>
  <c r="B112" i="2"/>
  <c r="E111" i="2"/>
  <c r="D111" i="2"/>
  <c r="C111" i="2"/>
  <c r="B111" i="2"/>
  <c r="C82" i="2"/>
  <c r="B51" i="2" s="1"/>
  <c r="B82" i="2"/>
  <c r="B41" i="2" s="1"/>
  <c r="C81" i="2"/>
  <c r="B50" i="2" s="1"/>
  <c r="B81" i="2"/>
  <c r="B40" i="2" s="1"/>
  <c r="C78" i="2"/>
  <c r="B78" i="2"/>
  <c r="F78" i="2" s="1"/>
  <c r="F77" i="2"/>
  <c r="C76" i="2"/>
  <c r="B46" i="2" s="1"/>
  <c r="B76" i="2"/>
  <c r="D32" i="2" s="1"/>
  <c r="F75" i="2"/>
  <c r="H42" i="2"/>
  <c r="G42" i="2"/>
  <c r="F42" i="2"/>
  <c r="F49" i="2" s="1"/>
  <c r="E42" i="2"/>
  <c r="D42" i="2"/>
  <c r="D49" i="2" s="1"/>
  <c r="C42" i="2"/>
  <c r="C49" i="2" s="1"/>
  <c r="H41" i="2"/>
  <c r="G41" i="2"/>
  <c r="G23" i="2" s="1"/>
  <c r="F41" i="2"/>
  <c r="F23" i="2" s="1"/>
  <c r="E41" i="2"/>
  <c r="E23" i="2" s="1"/>
  <c r="D41" i="2"/>
  <c r="D23" i="2" s="1"/>
  <c r="C41" i="2"/>
  <c r="C23" i="2" s="1"/>
  <c r="H40" i="2"/>
  <c r="G40" i="2"/>
  <c r="G24" i="2" s="1"/>
  <c r="F40" i="2"/>
  <c r="F24" i="2" s="1"/>
  <c r="E40" i="2"/>
  <c r="E24" i="2" s="1"/>
  <c r="D40" i="2"/>
  <c r="D24" i="2" s="1"/>
  <c r="C40" i="2"/>
  <c r="C24" i="2" s="1"/>
  <c r="H36" i="2"/>
  <c r="G36" i="2"/>
  <c r="F36" i="2"/>
  <c r="E36" i="2"/>
  <c r="D36" i="2"/>
  <c r="C36" i="2"/>
  <c r="A2" i="2"/>
  <c r="G29" i="1" l="1"/>
  <c r="G30" i="1" s="1"/>
  <c r="G31" i="1"/>
  <c r="E38" i="1" s="1"/>
  <c r="E48" i="2"/>
  <c r="E45" i="2" s="1"/>
  <c r="E49" i="2"/>
  <c r="H46" i="2"/>
  <c r="H49" i="2"/>
  <c r="G46" i="2"/>
  <c r="G49" i="2"/>
  <c r="M17" i="1"/>
  <c r="O17" i="1" s="1"/>
  <c r="H29" i="1"/>
  <c r="H30" i="1" s="1"/>
  <c r="M13" i="1"/>
  <c r="J35" i="1" s="1"/>
  <c r="O19" i="1"/>
  <c r="N19" i="1"/>
  <c r="M14" i="1"/>
  <c r="O14" i="1" s="1"/>
  <c r="M20" i="1"/>
  <c r="M18" i="1"/>
  <c r="D29" i="1"/>
  <c r="M12" i="1"/>
  <c r="F29" i="1"/>
  <c r="F30" i="1" s="1"/>
  <c r="M15" i="1"/>
  <c r="N15" i="1" s="1"/>
  <c r="E29" i="1"/>
  <c r="E30" i="1" s="1"/>
  <c r="E46" i="2"/>
  <c r="D46" i="2"/>
  <c r="C32" i="2"/>
  <c r="E51" i="2"/>
  <c r="E54" i="2" s="1"/>
  <c r="E50" i="2"/>
  <c r="H32" i="2"/>
  <c r="D50" i="2"/>
  <c r="H50" i="2"/>
  <c r="H48" i="2"/>
  <c r="H45" i="2" s="1"/>
  <c r="G51" i="2"/>
  <c r="G50" i="2"/>
  <c r="D51" i="2"/>
  <c r="H51" i="2"/>
  <c r="H47" i="2" s="1"/>
  <c r="G48" i="2"/>
  <c r="G45" i="2" s="1"/>
  <c r="F50" i="2"/>
  <c r="F51" i="2"/>
  <c r="F46" i="2"/>
  <c r="C51" i="2"/>
  <c r="C46" i="2"/>
  <c r="F48" i="2"/>
  <c r="F45" i="2" s="1"/>
  <c r="B47" i="2"/>
  <c r="B54" i="2" s="1"/>
  <c r="E32" i="2"/>
  <c r="F76" i="2"/>
  <c r="F32" i="2"/>
  <c r="G32" i="2"/>
  <c r="D48" i="2"/>
  <c r="D45" i="2" s="1"/>
  <c r="C50" i="2"/>
  <c r="C48" i="2"/>
  <c r="C45" i="2" s="1"/>
  <c r="J32" i="2" l="1"/>
  <c r="J29" i="2" s="1"/>
  <c r="D38" i="1"/>
  <c r="F38" i="1"/>
  <c r="D30" i="1"/>
  <c r="D37" i="1" s="1"/>
  <c r="F36" i="1"/>
  <c r="G36" i="1"/>
  <c r="G37" i="1"/>
  <c r="F37" i="1"/>
  <c r="E37" i="1"/>
  <c r="J34" i="1"/>
  <c r="N12" i="1"/>
  <c r="H20" i="2"/>
  <c r="H21" i="2" s="1"/>
  <c r="H29" i="2" s="1"/>
  <c r="H33" i="2"/>
  <c r="H63" i="2" s="1"/>
  <c r="E33" i="2"/>
  <c r="E63" i="2" s="1"/>
  <c r="N17" i="1"/>
  <c r="O13" i="1"/>
  <c r="N13" i="1"/>
  <c r="N18" i="1"/>
  <c r="O18" i="1"/>
  <c r="N14" i="1"/>
  <c r="O20" i="1"/>
  <c r="N20" i="1"/>
  <c r="O15" i="1"/>
  <c r="O12" i="1"/>
  <c r="G47" i="2"/>
  <c r="D47" i="2"/>
  <c r="D20" i="2" s="1"/>
  <c r="D21" i="2" s="1"/>
  <c r="D29" i="2" s="1"/>
  <c r="C54" i="2"/>
  <c r="F47" i="2"/>
  <c r="E47" i="2"/>
  <c r="E20" i="2" s="1"/>
  <c r="E21" i="2" s="1"/>
  <c r="E29" i="2" s="1"/>
  <c r="C47" i="2"/>
  <c r="C20" i="2" s="1"/>
  <c r="H54" i="2"/>
  <c r="D54" i="2"/>
  <c r="D33" i="2" s="1"/>
  <c r="D63" i="2" s="1"/>
  <c r="F54" i="2"/>
  <c r="G54" i="2"/>
  <c r="G33" i="2" s="1"/>
  <c r="G63" i="2" s="1"/>
  <c r="C30" i="2"/>
  <c r="O21" i="1" l="1"/>
  <c r="O16" i="1"/>
  <c r="J38" i="1"/>
  <c r="J37" i="1"/>
  <c r="J36" i="1"/>
  <c r="N25" i="1"/>
  <c r="D122" i="2"/>
  <c r="D123" i="2" s="1"/>
  <c r="D124" i="2" s="1"/>
  <c r="D125" i="2" s="1"/>
  <c r="D62" i="2"/>
  <c r="H122" i="2"/>
  <c r="H123" i="2" s="1"/>
  <c r="H124" i="2" s="1"/>
  <c r="H125" i="2" s="1"/>
  <c r="G62" i="2"/>
  <c r="E62" i="2"/>
  <c r="F33" i="2"/>
  <c r="F63" i="2" s="1"/>
  <c r="C33" i="2"/>
  <c r="C63" i="2" s="1"/>
  <c r="G20" i="2"/>
  <c r="G21" i="2" s="1"/>
  <c r="G29" i="2" s="1"/>
  <c r="C21" i="2"/>
  <c r="C29" i="2" s="1"/>
  <c r="F20" i="2"/>
  <c r="F21" i="2" s="1"/>
  <c r="F29" i="2" s="1"/>
  <c r="G122" i="2"/>
  <c r="G123" i="2" s="1"/>
  <c r="G124" i="2" s="1"/>
  <c r="G125" i="2" s="1"/>
  <c r="E122" i="2"/>
  <c r="E123" i="2" s="1"/>
  <c r="E124" i="2" s="1"/>
  <c r="E17" i="1" l="1"/>
  <c r="B41" i="1" s="1"/>
  <c r="C122" i="2"/>
  <c r="C123" i="2" s="1"/>
  <c r="C124" i="2" s="1"/>
  <c r="C62" i="2"/>
  <c r="F122" i="2"/>
  <c r="F123" i="2" s="1"/>
  <c r="F124" i="2" s="1"/>
  <c r="F125" i="2" s="1"/>
  <c r="F62" i="2"/>
  <c r="E125" i="2"/>
  <c r="C125" i="2" l="1"/>
  <c r="H126" i="2" s="1" a="1"/>
  <c r="H126" i="2" s="1"/>
  <c r="B40" i="1"/>
  <c r="O41" i="1"/>
  <c r="P41" i="1" s="1"/>
  <c r="B42" i="1"/>
  <c r="I63" i="2"/>
  <c r="M141" i="2"/>
  <c r="O141" i="2" s="1"/>
  <c r="M140" i="2"/>
  <c r="O140" i="2" s="1"/>
  <c r="M139" i="2"/>
  <c r="O139" i="2" s="1"/>
  <c r="I62" i="2"/>
  <c r="M142" i="2"/>
  <c r="O142" i="2" s="1"/>
  <c r="C90" i="2" l="1"/>
  <c r="F114" i="2" s="1"/>
  <c r="G114" i="2" s="1"/>
  <c r="H114" i="2" s="1"/>
  <c r="O143" i="2"/>
  <c r="D126" i="2" a="1"/>
  <c r="D126" i="2" s="1"/>
  <c r="D127" i="2" s="1"/>
  <c r="D132" i="2" s="1"/>
  <c r="G126" i="2" a="1"/>
  <c r="G126" i="2" s="1"/>
  <c r="G128" i="2" s="1"/>
  <c r="E126" i="2" a="1"/>
  <c r="E126" i="2" s="1"/>
  <c r="E128" i="2" s="1"/>
  <c r="F126" i="2" a="1"/>
  <c r="F126" i="2" s="1"/>
  <c r="F128" i="2" s="1"/>
  <c r="C126" i="2" a="1"/>
  <c r="C126" i="2" s="1"/>
  <c r="C127" i="2" s="1"/>
  <c r="N139" i="2"/>
  <c r="N142" i="2"/>
  <c r="N141" i="2"/>
  <c r="N140" i="2"/>
  <c r="H128" i="2"/>
  <c r="H127" i="2"/>
  <c r="H132" i="2" s="1"/>
  <c r="F131" i="2" l="1"/>
  <c r="F130" i="2"/>
  <c r="H131" i="2"/>
  <c r="H130" i="2"/>
  <c r="E131" i="2"/>
  <c r="E130" i="2"/>
  <c r="G131" i="2"/>
  <c r="G130" i="2"/>
  <c r="G127" i="2"/>
  <c r="G132" i="2" s="1"/>
  <c r="G137" i="2" s="1"/>
  <c r="D128" i="2"/>
  <c r="C129" i="2"/>
  <c r="F127" i="2"/>
  <c r="F132" i="2" s="1"/>
  <c r="F137" i="2" s="1"/>
  <c r="E127" i="2"/>
  <c r="E132" i="2" s="1"/>
  <c r="E137" i="2" s="1"/>
  <c r="C128" i="2"/>
  <c r="F113" i="2"/>
  <c r="G113" i="2" s="1"/>
  <c r="H113" i="2" s="1"/>
  <c r="C99" i="2" s="1"/>
  <c r="C102" i="2" s="1"/>
  <c r="C95" i="2"/>
  <c r="F115" i="2"/>
  <c r="G115" i="2" s="1"/>
  <c r="H115" i="2" s="1"/>
  <c r="G129" i="2"/>
  <c r="F129" i="2"/>
  <c r="E129" i="2"/>
  <c r="H129" i="2"/>
  <c r="H137" i="2"/>
  <c r="D131" i="2" l="1"/>
  <c r="D130" i="2"/>
  <c r="D129" i="2"/>
  <c r="D137" i="2"/>
  <c r="B122" i="2"/>
  <c r="C100" i="2"/>
  <c r="C92" i="2" s="1"/>
  <c r="C93" i="2" s="1"/>
  <c r="C94" i="2" s="1"/>
  <c r="E90" i="2" s="1"/>
  <c r="B154" i="2" l="1"/>
  <c r="E89" i="2"/>
  <c r="B130" i="2"/>
  <c r="M146" i="2" s="1"/>
  <c r="B131" i="2"/>
  <c r="M144" i="2" l="1"/>
  <c r="N144" i="2" s="1"/>
  <c r="M147" i="2"/>
  <c r="N147" i="2" s="1"/>
  <c r="M145" i="2"/>
  <c r="O145" i="2" s="1"/>
  <c r="O146" i="2"/>
  <c r="N146" i="2"/>
  <c r="N145" i="2" l="1"/>
  <c r="O147" i="2"/>
  <c r="O144" i="2"/>
  <c r="O148" i="2" l="1"/>
  <c r="B155" i="2" s="1"/>
  <c r="N152" i="2"/>
  <c r="B156" i="2" s="1"/>
  <c r="B158" i="2" s="1"/>
  <c r="O155" i="2" l="1"/>
  <c r="P155" i="2" s="1"/>
</calcChain>
</file>

<file path=xl/sharedStrings.xml><?xml version="1.0" encoding="utf-8"?>
<sst xmlns="http://schemas.openxmlformats.org/spreadsheetml/2006/main" count="202" uniqueCount="145">
  <si>
    <t>Primary Pump</t>
  </si>
  <si>
    <t>SKU</t>
  </si>
  <si>
    <t>D</t>
  </si>
  <si>
    <t>H</t>
  </si>
  <si>
    <t>S</t>
  </si>
  <si>
    <t>L</t>
  </si>
  <si>
    <t>DHW</t>
  </si>
  <si>
    <t>Hi Temp</t>
  </si>
  <si>
    <t>Low Temp (Sm. TMV)</t>
  </si>
  <si>
    <t>Low Temp (Lrg. TMV)</t>
  </si>
  <si>
    <t>Descriptions</t>
  </si>
  <si>
    <t>List Price</t>
  </si>
  <si>
    <t>None</t>
  </si>
  <si>
    <t>UPS15-58</t>
  </si>
  <si>
    <t>UPS26-99</t>
  </si>
  <si>
    <t>UPS26-150</t>
  </si>
  <si>
    <t>Multiplier</t>
  </si>
  <si>
    <t>Net Price</t>
  </si>
  <si>
    <t>Description</t>
  </si>
  <si>
    <t>Ext. List</t>
  </si>
  <si>
    <t>Total</t>
  </si>
  <si>
    <t>SKU Descriptions</t>
  </si>
  <si>
    <t>P</t>
  </si>
  <si>
    <t>Sku Part#</t>
  </si>
  <si>
    <t>n/a</t>
  </si>
  <si>
    <t>Select</t>
  </si>
  <si>
    <t>Value</t>
  </si>
  <si>
    <t>MATCH</t>
  </si>
  <si>
    <t>INDEX</t>
  </si>
  <si>
    <t>Radio Input</t>
  </si>
  <si>
    <t>Qty</t>
  </si>
  <si>
    <t>Modified Input</t>
  </si>
  <si>
    <t>Min. pressure available before upsizing pump (ft)</t>
  </si>
  <si>
    <t>UPS 15-58</t>
  </si>
  <si>
    <t>No</t>
  </si>
  <si>
    <t>Yes</t>
  </si>
  <si>
    <t>Yes/No</t>
  </si>
  <si>
    <t>P Code</t>
  </si>
  <si>
    <t>Selection</t>
  </si>
  <si>
    <t>Minus Outside Loss</t>
  </si>
  <si>
    <t>Minus Loop Loss</t>
  </si>
  <si>
    <t>Head Available (ft)</t>
  </si>
  <si>
    <t>Pipe &amp; Ball Valves</t>
  </si>
  <si>
    <t>Head Loss (ft)</t>
  </si>
  <si>
    <t>Pump Code</t>
  </si>
  <si>
    <t>Head Excess (ft)</t>
  </si>
  <si>
    <t>Enter Head Loss (ft)</t>
  </si>
  <si>
    <t>Enter Flow Rate (gpm)</t>
  </si>
  <si>
    <t>Pump Required?</t>
  </si>
  <si>
    <t>Pipe and ball valve headloss allowance (ft)</t>
  </si>
  <si>
    <t>Min. pressure available before upsizing valve (ft)</t>
  </si>
  <si>
    <t>Low Temp</t>
  </si>
  <si>
    <t>Count</t>
  </si>
  <si>
    <t>Cv</t>
  </si>
  <si>
    <t>Secondary Circuit</t>
  </si>
  <si>
    <t>psi</t>
  </si>
  <si>
    <t>ft H2O</t>
  </si>
  <si>
    <t>Conversion</t>
  </si>
  <si>
    <t>Water</t>
  </si>
  <si>
    <t>Specific Gravity</t>
  </si>
  <si>
    <t>Circuit Head Loss (ft)</t>
  </si>
  <si>
    <t>Circuit Code</t>
  </si>
  <si>
    <t>MATCH circuit type</t>
  </si>
  <si>
    <t>Select Circuit Type</t>
  </si>
  <si>
    <t>Flow Rate (gpm)</t>
  </si>
  <si>
    <t>Max. Primary Flow Rate</t>
  </si>
  <si>
    <t>Head Available</t>
  </si>
  <si>
    <t>Error Messages</t>
  </si>
  <si>
    <t>Error message</t>
  </si>
  <si>
    <t>Radio Output</t>
  </si>
  <si>
    <t>Radio Output Backup</t>
  </si>
  <si>
    <t>Code</t>
  </si>
  <si>
    <t>Pump*</t>
  </si>
  <si>
    <t>* pump curves from "Combining Pump Curves 2.xlsx" by Andy Morrow</t>
  </si>
  <si>
    <t>= SG * ( Q / Cv )^2 / (psi/ftH2O)</t>
  </si>
  <si>
    <t>Secondary Circuit Configuration</t>
  </si>
  <si>
    <t>http://www.get-digital-help.com/2009/06/06/sorting-numbers-and-text-cells-descending-also-removing-blanks-using-array-formula-in-excel/</t>
  </si>
  <si>
    <t>Code (sorted)</t>
  </si>
  <si>
    <t>Secondary Circuit Input</t>
  </si>
  <si>
    <t>Primary Circuit Input</t>
  </si>
  <si>
    <t>Results</t>
  </si>
  <si>
    <t>Data Entry</t>
  </si>
  <si>
    <t>A</t>
  </si>
  <si>
    <t>B</t>
  </si>
  <si>
    <t>C</t>
  </si>
  <si>
    <t>E</t>
  </si>
  <si>
    <t>Label</t>
  </si>
  <si>
    <t>Circuit ID</t>
  </si>
  <si>
    <t>a</t>
  </si>
  <si>
    <t>b</t>
  </si>
  <si>
    <t>c</t>
  </si>
  <si>
    <t>d</t>
  </si>
  <si>
    <t>e</t>
  </si>
  <si>
    <t>f</t>
  </si>
  <si>
    <t>Combined Code and Circuit ID</t>
  </si>
  <si>
    <t>Circuit ID (sorted)</t>
  </si>
  <si>
    <t>Sort Combination</t>
  </si>
  <si>
    <t>Code MATCH</t>
  </si>
  <si>
    <t>Code INDEX</t>
  </si>
  <si>
    <t>Code INDEX (sorted)</t>
  </si>
  <si>
    <t>Circuit ID MATCH (sorted)</t>
  </si>
  <si>
    <t>D or H</t>
  </si>
  <si>
    <t xml:space="preserve">   Small TMV</t>
  </si>
  <si>
    <t xml:space="preserve">   Large TMV</t>
  </si>
  <si>
    <t>Max. Flow (gpm) based on entered circuit head loss:</t>
  </si>
  <si>
    <t>TMV Head Loss (ft) based on entered flow rate:</t>
  </si>
  <si>
    <t>Max Flow (gpm). Calculated from intersection of pump curve and valve Cv. Used Wolfram Alpha "solve for x"</t>
  </si>
  <si>
    <t>TMV</t>
  </si>
  <si>
    <t>Small</t>
  </si>
  <si>
    <t>Large</t>
  </si>
  <si>
    <t>UPS 26-99</t>
  </si>
  <si>
    <t>Description components</t>
  </si>
  <si>
    <t>Description Length</t>
  </si>
  <si>
    <t>Description Components</t>
  </si>
  <si>
    <t>Select Country</t>
  </si>
  <si>
    <t>Canada</t>
  </si>
  <si>
    <t>USA</t>
  </si>
  <si>
    <t>Effective Date</t>
  </si>
  <si>
    <t>TMP-MULTI Pricing Calculator</t>
  </si>
  <si>
    <t>Country</t>
  </si>
  <si>
    <t>Canada List Price</t>
  </si>
  <si>
    <t>USA List Price</t>
  </si>
  <si>
    <t>Flow Rate</t>
  </si>
  <si>
    <t>Heating</t>
  </si>
  <si>
    <t>Control</t>
  </si>
  <si>
    <t>Wired</t>
  </si>
  <si>
    <t>Wireless</t>
  </si>
  <si>
    <t>W1</t>
  </si>
  <si>
    <t>W2</t>
  </si>
  <si>
    <t>Thermostat Connection</t>
  </si>
  <si>
    <t>Validation Checks</t>
  </si>
  <si>
    <t>High temp circuits must be to the right of low temp circuits.</t>
  </si>
  <si>
    <t>L circuits must be to the right of S circuits.</t>
  </si>
  <si>
    <t>Fill in circuits from right to left.</t>
  </si>
  <si>
    <t>Pump</t>
  </si>
  <si>
    <t>Secondary Circuits</t>
  </si>
  <si>
    <t>Filled in?</t>
  </si>
  <si>
    <t>Maximum of two Hi Temp circuits can be selected.</t>
  </si>
  <si>
    <t>Configure at least two circuits.</t>
  </si>
  <si>
    <t>WRD</t>
  </si>
  <si>
    <t>WRL</t>
  </si>
  <si>
    <t>HI</t>
  </si>
  <si>
    <t>TMVLG</t>
  </si>
  <si>
    <t>TMVSM</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</si>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</sst>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mmm\ d\,\ yyyy"/>
  </numFmts>
  <fonts count="7"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color rgb="FFFF000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5">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8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3" borderId="0" xfId="0" applyFill="1"/>
    <xf numFmtId="0" fontId="0" fillId="0" borderId="0" xfId="0" applyProtection="1">
      <protection hidden="1"/>
    </xf>
    <xf numFmtId="0" fontId="1" fillId="0" borderId="0" xfId="0" applyFont="1" applyProtection="1">
      <protection hidden="1"/>
    </xf>
    <xf numFmtId="164" fontId="0" fillId="0" borderId="0" xfId="0" applyNumberFormat="1" applyProtection="1">
      <protection hidden="1"/>
    </xf>
    <xf numFmtId="0" fontId="0" fillId="0" borderId="0" xfId="0" applyAlignment="1" applyProtection="1">
      <alignment horizontal="center"/>
      <protection locked="0"/>
    </xf>
    <xf numFmtId="0" fontId="0" fillId="2" borderId="0" xfId="0" applyFill="1"/>
    <xf numFmtId="0" fontId="1" fillId="0" borderId="1" xfId="0" applyFont="1" applyBorder="1" applyAlignment="1">
      <alignment horizontal="center"/>
    </xf>
    <xf numFmtId="0" fontId="0" fillId="0" borderId="0" xfId="0" applyAlignment="1">
      <alignment horizontal="left"/>
    </xf>
    <xf numFmtId="0" fontId="0" fillId="2" borderId="0" xfId="0" applyFill="1" applyAlignment="1">
      <alignment horizontal="center"/>
    </xf>
    <xf numFmtId="0" fontId="2" fillId="0" borderId="0" xfId="0" applyFont="1" applyAlignment="1">
      <alignment horizontal="center"/>
    </xf>
    <xf numFmtId="0" fontId="0" fillId="3" borderId="0" xfId="0" applyFill="1" applyAlignment="1" applyProtection="1">
      <alignment horizontal="left"/>
      <protection locked="0"/>
    </xf>
    <xf numFmtId="0" fontId="0" fillId="3" borderId="0" xfId="0" applyFill="1" applyAlignment="1">
      <alignment horizontal="center"/>
    </xf>
    <xf numFmtId="0" fontId="0" fillId="3" borderId="1" xfId="0" applyFill="1" applyBorder="1" applyAlignment="1">
      <alignment horizontal="center"/>
    </xf>
    <xf numFmtId="0" fontId="1" fillId="0" borderId="0" xfId="0" applyFont="1" applyAlignment="1">
      <alignment horizontal="right"/>
    </xf>
    <xf numFmtId="0" fontId="1" fillId="0" borderId="0" xfId="0" applyFont="1" applyAlignment="1" applyProtection="1">
      <alignment horizontal="right"/>
      <protection hidden="1"/>
    </xf>
    <xf numFmtId="164" fontId="0" fillId="0" borderId="3" xfId="0" applyNumberFormat="1" applyBorder="1" applyProtection="1">
      <protection hidden="1"/>
    </xf>
    <xf numFmtId="0" fontId="0" fillId="2" borderId="0" xfId="0" applyFill="1" applyAlignment="1">
      <alignment wrapText="1"/>
    </xf>
    <xf numFmtId="0" fontId="0" fillId="0" borderId="0" xfId="0" applyAlignment="1">
      <alignment horizontal="center" vertical="center"/>
    </xf>
    <xf numFmtId="2" fontId="0" fillId="0" borderId="0" xfId="0" applyNumberFormat="1" applyAlignment="1">
      <alignment horizontal="center"/>
    </xf>
    <xf numFmtId="0" fontId="0" fillId="3" borderId="0" xfId="0" applyFill="1" applyAlignment="1" applyProtection="1">
      <alignment horizontal="center"/>
      <protection locked="0"/>
    </xf>
    <xf numFmtId="0" fontId="0" fillId="2" borderId="0" xfId="0" applyFill="1" applyAlignment="1">
      <alignment horizontal="left" wrapText="1"/>
    </xf>
    <xf numFmtId="0" fontId="0" fillId="2" borderId="0" xfId="0" applyFill="1" applyAlignment="1">
      <alignment horizontal="left"/>
    </xf>
    <xf numFmtId="0" fontId="1" fillId="2" borderId="0" xfId="0" applyFont="1" applyFill="1"/>
    <xf numFmtId="2" fontId="0" fillId="2" borderId="0" xfId="0" applyNumberFormat="1" applyFill="1" applyAlignment="1">
      <alignment horizontal="center"/>
    </xf>
    <xf numFmtId="164" fontId="0" fillId="2" borderId="0" xfId="0" applyNumberFormat="1" applyFill="1"/>
    <xf numFmtId="2" fontId="0" fillId="2" borderId="0" xfId="0" applyNumberFormat="1" applyFill="1" applyAlignment="1">
      <alignment horizontal="center" vertical="center"/>
    </xf>
    <xf numFmtId="0" fontId="1" fillId="2" borderId="0" xfId="0" applyFont="1" applyFill="1" applyAlignment="1">
      <alignment horizontal="center"/>
    </xf>
    <xf numFmtId="0" fontId="1" fillId="2" borderId="4" xfId="0" applyFont="1" applyFill="1" applyBorder="1"/>
    <xf numFmtId="0" fontId="0" fillId="2" borderId="4" xfId="0" applyFill="1" applyBorder="1"/>
    <xf numFmtId="0" fontId="1" fillId="2" borderId="4" xfId="0" applyFont="1" applyFill="1" applyBorder="1" applyAlignment="1">
      <alignment horizontal="center"/>
    </xf>
    <xf numFmtId="0" fontId="1" fillId="2" borderId="4" xfId="0" applyFont="1" applyFill="1" applyBorder="1" applyAlignment="1">
      <alignment horizontal="left"/>
    </xf>
    <xf numFmtId="0" fontId="0" fillId="2" borderId="4" xfId="0" applyFill="1" applyBorder="1" applyAlignment="1">
      <alignment horizontal="center"/>
    </xf>
    <xf numFmtId="2" fontId="0" fillId="2" borderId="4" xfId="0" applyNumberFormat="1" applyFill="1" applyBorder="1" applyAlignment="1">
      <alignment horizontal="center"/>
    </xf>
    <xf numFmtId="0" fontId="0" fillId="0" borderId="0" xfId="0" applyAlignment="1">
      <alignment wrapText="1"/>
    </xf>
    <xf numFmtId="0" fontId="3" fillId="0" borderId="0" xfId="0" applyFont="1" applyAlignment="1">
      <alignment vertical="top"/>
    </xf>
    <xf numFmtId="0" fontId="0" fillId="4" borderId="0" xfId="0" applyFill="1" applyAlignment="1">
      <alignment horizontal="center"/>
    </xf>
    <xf numFmtId="0" fontId="0" fillId="4" borderId="0" xfId="0" applyFill="1"/>
    <xf numFmtId="0" fontId="2" fillId="4" borderId="0" xfId="0" applyFont="1" applyFill="1" applyAlignment="1">
      <alignment horizontal="center"/>
    </xf>
    <xf numFmtId="0" fontId="0" fillId="0" borderId="0" xfId="0" applyAlignment="1">
      <alignment horizontal="left" wrapText="1"/>
    </xf>
    <xf numFmtId="49" fontId="0" fillId="2" borderId="4" xfId="0" applyNumberFormat="1" applyFill="1" applyBorder="1" applyAlignment="1">
      <alignment horizontal="left"/>
    </xf>
    <xf numFmtId="0" fontId="1" fillId="0" borderId="3" xfId="0" applyFont="1" applyBorder="1"/>
    <xf numFmtId="0" fontId="0" fillId="0" borderId="3" xfId="0" applyBorder="1" applyAlignment="1">
      <alignment horizontal="right"/>
    </xf>
    <xf numFmtId="0" fontId="0" fillId="0" borderId="3" xfId="0" applyBorder="1"/>
    <xf numFmtId="0" fontId="0" fillId="0" borderId="3" xfId="0" applyBorder="1" applyAlignment="1">
      <alignment horizontal="center"/>
    </xf>
    <xf numFmtId="0" fontId="1" fillId="0" borderId="3" xfId="0" applyFont="1" applyBorder="1" applyAlignment="1">
      <alignment horizontal="left"/>
    </xf>
    <xf numFmtId="0" fontId="0" fillId="5" borderId="0" xfId="0" applyFill="1" applyProtection="1">
      <protection hidden="1"/>
    </xf>
    <xf numFmtId="164" fontId="0" fillId="5" borderId="0" xfId="0" applyNumberFormat="1" applyFill="1" applyAlignment="1" applyProtection="1">
      <alignment horizontal="left"/>
      <protection hidden="1"/>
    </xf>
    <xf numFmtId="0" fontId="1" fillId="3" borderId="1" xfId="0" applyFont="1" applyFill="1" applyBorder="1" applyAlignment="1" applyProtection="1">
      <alignment horizontal="center"/>
      <protection locked="0"/>
    </xf>
    <xf numFmtId="0" fontId="0" fillId="6" borderId="0" xfId="0" applyFill="1" applyAlignment="1">
      <alignment horizontal="center"/>
    </xf>
    <xf numFmtId="0" fontId="1" fillId="6" borderId="0" xfId="0" applyFont="1" applyFill="1" applyAlignment="1">
      <alignment horizontal="center"/>
    </xf>
    <xf numFmtId="165" fontId="0" fillId="0" borderId="0" xfId="0" applyNumberFormat="1" applyAlignment="1">
      <alignment horizontal="center"/>
    </xf>
    <xf numFmtId="0" fontId="3" fillId="2" borderId="0" xfId="0" applyFont="1" applyFill="1" applyAlignment="1">
      <alignment horizontal="center"/>
    </xf>
    <xf numFmtId="165" fontId="0" fillId="0" borderId="3" xfId="0" applyNumberFormat="1" applyBorder="1" applyAlignment="1">
      <alignment horizontal="center"/>
    </xf>
    <xf numFmtId="0" fontId="0" fillId="0" borderId="4" xfId="0" applyBorder="1" applyAlignment="1">
      <alignment wrapText="1"/>
    </xf>
    <xf numFmtId="165" fontId="0" fillId="0" borderId="4" xfId="0" applyNumberFormat="1" applyBorder="1" applyAlignment="1">
      <alignment horizontal="center"/>
    </xf>
    <xf numFmtId="2" fontId="0" fillId="0" borderId="3" xfId="0" applyNumberFormat="1" applyBorder="1" applyAlignment="1">
      <alignment horizontal="center"/>
    </xf>
    <xf numFmtId="0" fontId="0" fillId="2" borderId="4" xfId="0" applyFill="1" applyBorder="1" applyAlignment="1">
      <alignment horizontal="left"/>
    </xf>
    <xf numFmtId="164" fontId="0" fillId="2" borderId="4" xfId="0" applyNumberFormat="1" applyFill="1" applyBorder="1"/>
    <xf numFmtId="15" fontId="0" fillId="0" borderId="0" xfId="0" applyNumberFormat="1"/>
    <xf numFmtId="166" fontId="0" fillId="0" borderId="0" xfId="0" applyNumberFormat="1" applyAlignment="1">
      <alignment horizontal="center"/>
    </xf>
    <xf numFmtId="0" fontId="3" fillId="0" borderId="0" xfId="0" applyFont="1" applyAlignment="1">
      <alignment vertical="top" wrapText="1"/>
    </xf>
    <xf numFmtId="166" fontId="0" fillId="3" borderId="0" xfId="0" applyNumberFormat="1" applyFill="1" applyAlignment="1" applyProtection="1">
      <alignment horizontal="center"/>
      <protection locked="0"/>
    </xf>
    <xf numFmtId="15" fontId="4" fillId="0" borderId="0" xfId="0" applyNumberFormat="1" applyFont="1" applyAlignment="1">
      <alignment horizontal="right" vertical="top" wrapText="1"/>
    </xf>
    <xf numFmtId="0" fontId="5" fillId="0" borderId="0" xfId="1" applyAlignment="1">
      <alignment horizontal="left"/>
    </xf>
    <xf numFmtId="0" fontId="0" fillId="7" borderId="0" xfId="0" applyFill="1"/>
    <xf numFmtId="0" fontId="0" fillId="7" borderId="0" xfId="0" applyFill="1" applyAlignment="1">
      <alignment horizontal="center"/>
    </xf>
    <xf numFmtId="0" fontId="0" fillId="7" borderId="0" xfId="0" applyFill="1" applyProtection="1">
      <protection hidden="1"/>
    </xf>
    <xf numFmtId="0" fontId="0" fillId="7" borderId="0" xfId="0" applyFill="1" applyAlignment="1">
      <alignment horizontal="left"/>
    </xf>
    <xf numFmtId="0" fontId="0" fillId="7" borderId="0" xfId="0" applyFill="1" applyAlignment="1" applyProtection="1">
      <alignment horizontal="center"/>
      <protection locked="0"/>
    </xf>
    <xf numFmtId="0" fontId="6" fillId="0" borderId="0" xfId="0" applyFont="1"/>
    <xf numFmtId="0" fontId="0" fillId="0" borderId="1" xfId="0" applyBorder="1" applyAlignment="1">
      <alignment horizontal="center"/>
    </xf>
    <xf numFmtId="0" fontId="0" fillId="0" borderId="1" xfId="0" applyBorder="1"/>
    <xf numFmtId="0" fontId="0" fillId="4" borderId="2" xfId="0" applyFill="1" applyBorder="1" applyAlignment="1">
      <alignment horizontal="center"/>
    </xf>
    <xf numFmtId="0" fontId="1" fillId="4" borderId="2" xfId="0" applyFont="1" applyFill="1" applyBorder="1"/>
    <xf numFmtId="0" fontId="1" fillId="4" borderId="2" xfId="0" applyFont="1" applyFill="1" applyBorder="1" applyAlignment="1">
      <alignment horizontal="center"/>
    </xf>
    <xf numFmtId="0" fontId="6" fillId="0" borderId="0" xfId="0" applyFont="1" applyAlignment="1">
      <alignment vertical="top"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0" fillId="5" borderId="0" xfId="0" applyFill="1" applyProtection="1">
      <protection hidden="1"/>
    </xf>
    <xf numFmtId="0" fontId="0" fillId="5" borderId="0" xfId="0" applyFill="1"/>
  </cellXfs>
  <cellStyles count="2">
    <cellStyle name="Hyperlink" xfId="1" builtinId="8"/>
    <cellStyle name="Normal" xfId="0" builtinId="0"/>
  </cellStyles>
  <dxfs count="5">
    <dxf>
      <font>
        <color theme="1" tint="0.499984740745262"/>
      </font>
    </dxf>
    <dxf>
      <font>
        <color theme="1" tint="0.499984740745262"/>
      </font>
    </dxf>
    <dxf>
      <font>
        <color theme="1" tint="0.499984740745262"/>
      </font>
    </dxf>
    <dxf>
      <font>
        <color theme="1" tint="0.499984740745262"/>
      </font>
    </dxf>
    <dxf>
      <font>
        <condense val="0"/>
        <extend val="0"/>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B$1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F$13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G$13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fmlaLink="$H$130"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B$27"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fmlaLink="$D$2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firstButton="1" fmlaLink="$E$27"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firstButton="1" fmlaLink="$F$27"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fmlaLink="$G$27"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H$2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130"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E$13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0</xdr:row>
      <xdr:rowOff>400049</xdr:rowOff>
    </xdr:to>
    <xdr:pic>
      <xdr:nvPicPr>
        <xdr:cNvPr id="34" name="Picture 1">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1504950"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238125</xdr:colOff>
          <xdr:row>143</xdr:row>
          <xdr:rowOff>19050</xdr:rowOff>
        </xdr:from>
        <xdr:to>
          <xdr:col>2</xdr:col>
          <xdr:colOff>476250</xdr:colOff>
          <xdr:row>144</xdr:row>
          <xdr:rowOff>9525</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144</xdr:row>
          <xdr:rowOff>9525</xdr:rowOff>
        </xdr:from>
        <xdr:to>
          <xdr:col>2</xdr:col>
          <xdr:colOff>476250</xdr:colOff>
          <xdr:row>145</xdr:row>
          <xdr:rowOff>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145</xdr:row>
          <xdr:rowOff>9525</xdr:rowOff>
        </xdr:from>
        <xdr:to>
          <xdr:col>2</xdr:col>
          <xdr:colOff>476250</xdr:colOff>
          <xdr:row>146</xdr:row>
          <xdr:rowOff>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146</xdr:row>
          <xdr:rowOff>9525</xdr:rowOff>
        </xdr:from>
        <xdr:to>
          <xdr:col>2</xdr:col>
          <xdr:colOff>476250</xdr:colOff>
          <xdr:row>147</xdr:row>
          <xdr:rowOff>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143</xdr:row>
          <xdr:rowOff>0</xdr:rowOff>
        </xdr:from>
        <xdr:to>
          <xdr:col>3</xdr:col>
          <xdr:colOff>0</xdr:colOff>
          <xdr:row>147</xdr:row>
          <xdr:rowOff>0</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137</xdr:row>
          <xdr:rowOff>9525</xdr:rowOff>
        </xdr:from>
        <xdr:to>
          <xdr:col>3</xdr:col>
          <xdr:colOff>476250</xdr:colOff>
          <xdr:row>138</xdr:row>
          <xdr:rowOff>9525</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140</xdr:row>
          <xdr:rowOff>0</xdr:rowOff>
        </xdr:from>
        <xdr:to>
          <xdr:col>3</xdr:col>
          <xdr:colOff>476250</xdr:colOff>
          <xdr:row>140</xdr:row>
          <xdr:rowOff>180975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0</xdr:rowOff>
        </xdr:from>
        <xdr:to>
          <xdr:col>4</xdr:col>
          <xdr:colOff>0</xdr:colOff>
          <xdr:row>142</xdr:row>
          <xdr:rowOff>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137</xdr:row>
          <xdr:rowOff>9525</xdr:rowOff>
        </xdr:from>
        <xdr:to>
          <xdr:col>4</xdr:col>
          <xdr:colOff>476250</xdr:colOff>
          <xdr:row>138</xdr:row>
          <xdr:rowOff>9525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140</xdr:row>
          <xdr:rowOff>0</xdr:rowOff>
        </xdr:from>
        <xdr:to>
          <xdr:col>4</xdr:col>
          <xdr:colOff>476250</xdr:colOff>
          <xdr:row>140</xdr:row>
          <xdr:rowOff>180975</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137</xdr:row>
          <xdr:rowOff>0</xdr:rowOff>
        </xdr:from>
        <xdr:to>
          <xdr:col>5</xdr:col>
          <xdr:colOff>0</xdr:colOff>
          <xdr:row>142</xdr:row>
          <xdr:rowOff>0</xdr:rowOff>
        </xdr:to>
        <xdr:sp macro="" textlink="">
          <xdr:nvSpPr>
            <xdr:cNvPr id="2102" name="Group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137</xdr:row>
          <xdr:rowOff>9525</xdr:rowOff>
        </xdr:from>
        <xdr:to>
          <xdr:col>5</xdr:col>
          <xdr:colOff>476250</xdr:colOff>
          <xdr:row>138</xdr:row>
          <xdr:rowOff>9525</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139</xdr:row>
          <xdr:rowOff>0</xdr:rowOff>
        </xdr:from>
        <xdr:to>
          <xdr:col>5</xdr:col>
          <xdr:colOff>476250</xdr:colOff>
          <xdr:row>139</xdr:row>
          <xdr:rowOff>180975</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140</xdr:row>
          <xdr:rowOff>0</xdr:rowOff>
        </xdr:from>
        <xdr:to>
          <xdr:col>5</xdr:col>
          <xdr:colOff>476250</xdr:colOff>
          <xdr:row>140</xdr:row>
          <xdr:rowOff>180975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137</xdr:row>
          <xdr:rowOff>0</xdr:rowOff>
        </xdr:from>
        <xdr:to>
          <xdr:col>6</xdr:col>
          <xdr:colOff>0</xdr:colOff>
          <xdr:row>141</xdr:row>
          <xdr:rowOff>190500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137</xdr:row>
          <xdr:rowOff>9525</xdr:rowOff>
        </xdr:from>
        <xdr:to>
          <xdr:col>6</xdr:col>
          <xdr:colOff>476250</xdr:colOff>
          <xdr:row>138</xdr:row>
          <xdr:rowOff>9525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139</xdr:row>
          <xdr:rowOff>0</xdr:rowOff>
        </xdr:from>
        <xdr:to>
          <xdr:col>6</xdr:col>
          <xdr:colOff>476250</xdr:colOff>
          <xdr:row>139</xdr:row>
          <xdr:rowOff>180975</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140</xdr:row>
          <xdr:rowOff>0</xdr:rowOff>
        </xdr:from>
        <xdr:to>
          <xdr:col>6</xdr:col>
          <xdr:colOff>476250</xdr:colOff>
          <xdr:row>140</xdr:row>
          <xdr:rowOff>180975</xdr:rowOff>
        </xdr:to>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137</xdr:row>
          <xdr:rowOff>0</xdr:rowOff>
        </xdr:from>
        <xdr:to>
          <xdr:col>7</xdr:col>
          <xdr:colOff>9525</xdr:colOff>
          <xdr:row>142</xdr:row>
          <xdr:rowOff>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138</xdr:row>
          <xdr:rowOff>0</xdr:rowOff>
        </xdr:from>
        <xdr:to>
          <xdr:col>7</xdr:col>
          <xdr:colOff>476250</xdr:colOff>
          <xdr:row>138</xdr:row>
          <xdr:rowOff>180975</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137</xdr:row>
          <xdr:rowOff>0</xdr:rowOff>
        </xdr:from>
        <xdr:to>
          <xdr:col>8</xdr:col>
          <xdr:colOff>0</xdr:colOff>
          <xdr:row>142</xdr:row>
          <xdr:rowOff>0</xdr:rowOff>
        </xdr:to>
        <xdr:sp macro="" textlink="">
          <xdr:nvSpPr>
            <xdr:cNvPr id="2117" name="Group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0</xdr:colOff>
      <xdr:row>7</xdr:row>
      <xdr:rowOff>57149</xdr:rowOff>
    </xdr:from>
    <xdr:to>
      <xdr:col>13</xdr:col>
      <xdr:colOff>638174</xdr:colOff>
      <xdr:row>7</xdr:row>
      <xdr:rowOff>933450</xdr:rowOff>
    </xdr:to>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0" y="4152899"/>
          <a:ext cx="8277224"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r>
            <a:rPr lang="en-CA" sz="1100" b="1" baseline="0">
              <a:solidFill>
                <a:schemeClr val="dk1"/>
              </a:solidFill>
              <a:effectLst/>
              <a:latin typeface="+mn-lt"/>
              <a:ea typeface="+mn-ea"/>
              <a:cs typeface="+mn-cs"/>
            </a:rPr>
            <a:t>Results</a:t>
          </a:r>
          <a:endParaRPr lang="en-CA" b="1">
            <a:effectLst/>
          </a:endParaRPr>
        </a:p>
        <a:p>
          <a:pPr marL="228600" indent="-228600" eaLnBrk="1" fontAlgn="auto" latinLnBrk="0" hangingPunct="1">
            <a:buFont typeface="+mj-lt"/>
            <a:buAutoNum type="arabicPeriod"/>
          </a:pPr>
          <a:r>
            <a:rPr lang="en-CA" sz="1100">
              <a:solidFill>
                <a:schemeClr val="dk1"/>
              </a:solidFill>
              <a:effectLst/>
              <a:latin typeface="+mn-lt"/>
              <a:ea typeface="+mn-ea"/>
              <a:cs typeface="+mn-cs"/>
            </a:rPr>
            <a:t>The table shows the</a:t>
          </a:r>
          <a:r>
            <a:rPr lang="en-CA" sz="1100" baseline="0">
              <a:solidFill>
                <a:schemeClr val="dk1"/>
              </a:solidFill>
              <a:effectLst/>
              <a:latin typeface="+mn-lt"/>
              <a:ea typeface="+mn-ea"/>
              <a:cs typeface="+mn-cs"/>
            </a:rPr>
            <a:t> panel configuration.</a:t>
          </a:r>
        </a:p>
        <a:p>
          <a:pPr marL="228600" indent="-228600" eaLnBrk="1" fontAlgn="auto" latinLnBrk="0" hangingPunct="1">
            <a:buFont typeface="+mj-lt"/>
            <a:buAutoNum type="arabicPeriod"/>
          </a:pPr>
          <a:r>
            <a:rPr lang="en-CA" sz="1100" baseline="0">
              <a:solidFill>
                <a:schemeClr val="dk1"/>
              </a:solidFill>
              <a:effectLst/>
              <a:latin typeface="+mn-lt"/>
              <a:ea typeface="+mn-ea"/>
              <a:cs typeface="+mn-cs"/>
            </a:rPr>
            <a:t>The SKU, description, and list price are below the table.</a:t>
          </a:r>
        </a:p>
        <a:p>
          <a:pPr marL="228600" indent="-228600" eaLnBrk="1" fontAlgn="auto" latinLnBrk="0" hangingPunct="1">
            <a:buFont typeface="+mj-lt"/>
            <a:buAutoNum type="arabicPeriod"/>
          </a:pPr>
          <a:r>
            <a:rPr lang="en-CA" sz="1100" baseline="0">
              <a:solidFill>
                <a:schemeClr val="dk1"/>
              </a:solidFill>
              <a:effectLst/>
              <a:latin typeface="+mn-lt"/>
              <a:ea typeface="+mn-ea"/>
              <a:cs typeface="+mn-cs"/>
            </a:rPr>
            <a:t>If needed, enter a multiplier to calculate the net price.</a:t>
          </a:r>
        </a:p>
        <a:p>
          <a:pPr marL="228600" indent="-228600" eaLnBrk="1" fontAlgn="auto" latinLnBrk="0" hangingPunct="1">
            <a:buFont typeface="+mj-lt"/>
            <a:buAutoNum type="arabicPeriod"/>
          </a:pPr>
          <a:r>
            <a:rPr lang="en-CA" sz="1100" baseline="0">
              <a:solidFill>
                <a:schemeClr val="dk1"/>
              </a:solidFill>
              <a:effectLst/>
              <a:latin typeface="+mn-lt"/>
              <a:ea typeface="+mn-ea"/>
              <a:cs typeface="+mn-cs"/>
            </a:rPr>
            <a:t>It is recommended to create a printed copy or PDF for your records.</a:t>
          </a:r>
          <a:endParaRPr lang="en-CA" sz="1100"/>
        </a:p>
      </xdr:txBody>
    </xdr:sp>
    <xdr:clientData/>
  </xdr:twoCellAnchor>
  <xdr:twoCellAnchor editAs="oneCell">
    <xdr:from>
      <xdr:col>16</xdr:col>
      <xdr:colOff>114300</xdr:colOff>
      <xdr:row>0</xdr:row>
      <xdr:rowOff>104775</xdr:rowOff>
    </xdr:from>
    <xdr:to>
      <xdr:col>26</xdr:col>
      <xdr:colOff>46871</xdr:colOff>
      <xdr:row>12</xdr:row>
      <xdr:rowOff>103969</xdr:rowOff>
    </xdr:to>
    <xdr:pic>
      <xdr:nvPicPr>
        <xdr:cNvPr id="36" name="Picture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2"/>
        <a:stretch>
          <a:fillRect/>
        </a:stretch>
      </xdr:blipFill>
      <xdr:spPr>
        <a:xfrm>
          <a:off x="8496300" y="104775"/>
          <a:ext cx="6028571" cy="6447619"/>
        </a:xfrm>
        <a:prstGeom prst="rect">
          <a:avLst/>
        </a:prstGeom>
      </xdr:spPr>
    </xdr:pic>
    <xdr:clientData/>
  </xdr:twoCellAnchor>
  <xdr:twoCellAnchor>
    <xdr:from>
      <xdr:col>0</xdr:col>
      <xdr:colOff>0</xdr:colOff>
      <xdr:row>2</xdr:row>
      <xdr:rowOff>57150</xdr:rowOff>
    </xdr:from>
    <xdr:to>
      <xdr:col>13</xdr:col>
      <xdr:colOff>638174</xdr:colOff>
      <xdr:row>2</xdr:row>
      <xdr:rowOff>428626</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0" y="704850"/>
          <a:ext cx="8277224" cy="371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rIns="0" bIns="0" rtlCol="0" anchor="t"/>
        <a:lstStyle/>
        <a:p>
          <a:r>
            <a:rPr lang="en-CA" sz="1100">
              <a:solidFill>
                <a:schemeClr val="dk1"/>
              </a:solidFill>
              <a:effectLst/>
              <a:latin typeface="+mn-lt"/>
              <a:ea typeface="+mn-ea"/>
              <a:cs typeface="+mn-cs"/>
            </a:rPr>
            <a:t>Use this worksheet to size the panel and check that your project requirements</a:t>
          </a:r>
          <a:r>
            <a:rPr lang="en-CA" sz="1100" baseline="0">
              <a:solidFill>
                <a:schemeClr val="dk1"/>
              </a:solidFill>
              <a:effectLst/>
              <a:latin typeface="+mn-lt"/>
              <a:ea typeface="+mn-ea"/>
              <a:cs typeface="+mn-cs"/>
            </a:rPr>
            <a:t> are within the panel capabilities.</a:t>
          </a:r>
          <a:endParaRPr lang="en-CA">
            <a:effectLst/>
          </a:endParaRPr>
        </a:p>
        <a:p>
          <a:r>
            <a:rPr lang="en-CA" sz="1100" baseline="0">
              <a:solidFill>
                <a:schemeClr val="dk1"/>
              </a:solidFill>
              <a:effectLst/>
              <a:latin typeface="+mn-lt"/>
              <a:ea typeface="+mn-ea"/>
              <a:cs typeface="+mn-cs"/>
            </a:rPr>
            <a:t>Use the "Configuration Known" worksheet if the panel configuration is already known.</a:t>
          </a:r>
          <a:endParaRPr lang="en-CA" sz="1100"/>
        </a:p>
      </xdr:txBody>
    </xdr:sp>
    <xdr:clientData/>
  </xdr:twoCellAnchor>
  <xdr:twoCellAnchor>
    <xdr:from>
      <xdr:col>0</xdr:col>
      <xdr:colOff>0</xdr:colOff>
      <xdr:row>3</xdr:row>
      <xdr:rowOff>28575</xdr:rowOff>
    </xdr:from>
    <xdr:to>
      <xdr:col>13</xdr:col>
      <xdr:colOff>638174</xdr:colOff>
      <xdr:row>3</xdr:row>
      <xdr:rowOff>723901</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0" y="1123950"/>
          <a:ext cx="8277224" cy="695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pPr eaLnBrk="1" fontAlgn="auto" latinLnBrk="0" hangingPunct="1"/>
          <a:r>
            <a:rPr lang="en-CA" sz="1100">
              <a:solidFill>
                <a:schemeClr val="dk1"/>
              </a:solidFill>
              <a:effectLst/>
              <a:latin typeface="+mn-lt"/>
              <a:ea typeface="+mn-ea"/>
              <a:cs typeface="+mn-cs"/>
            </a:rPr>
            <a:t>The TMP-Multi supports up to a maximum of five (5) circuits in total, or a maximum of 100,000 to 300,000 BTUs total load depending on primary pump selection.</a:t>
          </a:r>
          <a:endParaRPr lang="en-CA">
            <a:effectLst/>
          </a:endParaRPr>
        </a:p>
        <a:p>
          <a:pPr eaLnBrk="1" fontAlgn="auto" latinLnBrk="0" hangingPunct="1"/>
          <a:r>
            <a:rPr lang="en-CA" sz="1100">
              <a:solidFill>
                <a:schemeClr val="dk1"/>
              </a:solidFill>
              <a:effectLst/>
              <a:latin typeface="+mn-lt"/>
              <a:ea typeface="+mn-ea"/>
              <a:cs typeface="+mn-cs"/>
            </a:rPr>
            <a:t>The TMP-Multi is configurable for left or right boiler feed connections. The panel comes with an accessory pack so the installer can choose which side to make the boiler connections. See diagram for flow direction details.</a:t>
          </a:r>
          <a:endParaRPr lang="en-CA" sz="1100"/>
        </a:p>
      </xdr:txBody>
    </xdr:sp>
    <xdr:clientData/>
  </xdr:twoCellAnchor>
  <xdr:twoCellAnchor>
    <xdr:from>
      <xdr:col>0</xdr:col>
      <xdr:colOff>0</xdr:colOff>
      <xdr:row>5</xdr:row>
      <xdr:rowOff>28575</xdr:rowOff>
    </xdr:from>
    <xdr:to>
      <xdr:col>13</xdr:col>
      <xdr:colOff>638174</xdr:colOff>
      <xdr:row>5</xdr:row>
      <xdr:rowOff>1485900</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0" y="1857375"/>
          <a:ext cx="8277224"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pPr eaLnBrk="1" fontAlgn="auto" latinLnBrk="0" hangingPunct="1"/>
          <a:r>
            <a:rPr lang="en-CA" b="1">
              <a:effectLst/>
            </a:rPr>
            <a:t>Secondary</a:t>
          </a:r>
          <a:r>
            <a:rPr lang="en-CA" b="1" baseline="0">
              <a:effectLst/>
            </a:rPr>
            <a:t> Circuit Input</a:t>
          </a:r>
          <a:endParaRPr lang="en-CA" b="1">
            <a:effectLst/>
          </a:endParaRPr>
        </a:p>
        <a:p>
          <a:pPr marL="228600" indent="-228600">
            <a:buFont typeface="+mj-lt"/>
            <a:buAutoNum type="arabicPeriod"/>
          </a:pPr>
          <a:r>
            <a:rPr lang="en-CA" sz="1100">
              <a:solidFill>
                <a:schemeClr val="dk1"/>
              </a:solidFill>
              <a:effectLst/>
              <a:latin typeface="+mn-lt"/>
              <a:ea typeface="+mn-ea"/>
              <a:cs typeface="+mn-cs"/>
            </a:rPr>
            <a:t>Select </a:t>
          </a:r>
          <a:r>
            <a:rPr lang="en-CA" sz="1100" baseline="0">
              <a:solidFill>
                <a:schemeClr val="dk1"/>
              </a:solidFill>
              <a:effectLst/>
              <a:latin typeface="+mn-lt"/>
              <a:ea typeface="+mn-ea"/>
              <a:cs typeface="+mn-cs"/>
            </a:rPr>
            <a:t>the circuit type of each circuit. Start with a DHW if needed, then Hi Temp circuits, then Low Temp circuits. </a:t>
          </a:r>
          <a:br>
            <a:rPr lang="en-CA" sz="1100" baseline="0">
              <a:solidFill>
                <a:schemeClr val="dk1"/>
              </a:solidFill>
              <a:effectLst/>
              <a:latin typeface="+mn-lt"/>
              <a:ea typeface="+mn-ea"/>
              <a:cs typeface="+mn-cs"/>
            </a:rPr>
          </a:br>
          <a:r>
            <a:rPr lang="en-CA" sz="1100" baseline="0">
              <a:solidFill>
                <a:schemeClr val="dk1"/>
              </a:solidFill>
              <a:effectLst/>
              <a:latin typeface="+mn-lt"/>
              <a:ea typeface="+mn-ea"/>
              <a:cs typeface="+mn-cs"/>
            </a:rPr>
            <a:t>Max. one (1) DHW circuit.</a:t>
          </a:r>
          <a:br>
            <a:rPr lang="en-CA" sz="1100" baseline="0">
              <a:solidFill>
                <a:schemeClr val="dk1"/>
              </a:solidFill>
              <a:effectLst/>
              <a:latin typeface="+mn-lt"/>
              <a:ea typeface="+mn-ea"/>
              <a:cs typeface="+mn-cs"/>
            </a:rPr>
          </a:br>
          <a:r>
            <a:rPr lang="en-CA" sz="1100" baseline="0">
              <a:solidFill>
                <a:schemeClr val="dk1"/>
              </a:solidFill>
              <a:effectLst/>
              <a:latin typeface="+mn-lt"/>
              <a:ea typeface="+mn-ea"/>
              <a:cs typeface="+mn-cs"/>
            </a:rPr>
            <a:t>Max. two (2) Hi Temp circuits.</a:t>
          </a:r>
          <a:br>
            <a:rPr lang="en-CA" sz="1100" baseline="0">
              <a:solidFill>
                <a:schemeClr val="dk1"/>
              </a:solidFill>
              <a:effectLst/>
              <a:latin typeface="+mn-lt"/>
              <a:ea typeface="+mn-ea"/>
              <a:cs typeface="+mn-cs"/>
            </a:rPr>
          </a:br>
          <a:r>
            <a:rPr lang="en-CA" sz="1100" baseline="0">
              <a:solidFill>
                <a:schemeClr val="dk1"/>
              </a:solidFill>
              <a:effectLst/>
              <a:latin typeface="+mn-lt"/>
              <a:ea typeface="+mn-ea"/>
              <a:cs typeface="+mn-cs"/>
            </a:rPr>
            <a:t>Max. five (5) Low Temp circuits.</a:t>
          </a:r>
        </a:p>
        <a:p>
          <a:pPr marL="228600" indent="-228600">
            <a:buFont typeface="+mj-lt"/>
            <a:buAutoNum type="arabicPeriod"/>
          </a:pPr>
          <a:r>
            <a:rPr lang="en-CA" sz="1100" baseline="0">
              <a:solidFill>
                <a:schemeClr val="dk1"/>
              </a:solidFill>
              <a:effectLst/>
              <a:latin typeface="+mn-lt"/>
              <a:ea typeface="+mn-ea"/>
              <a:cs typeface="+mn-cs"/>
            </a:rPr>
            <a:t>Enter the flow rate in gpm and head loss in ft for each circuit. Get this information from the system designer / equipment manufacturer.</a:t>
          </a:r>
          <a:br>
            <a:rPr lang="en-CA" sz="1100" baseline="0">
              <a:solidFill>
                <a:schemeClr val="dk1"/>
              </a:solidFill>
              <a:effectLst/>
              <a:latin typeface="+mn-lt"/>
              <a:ea typeface="+mn-ea"/>
              <a:cs typeface="+mn-cs"/>
            </a:rPr>
          </a:br>
          <a:r>
            <a:rPr lang="en-CA" sz="1100" baseline="0">
              <a:solidFill>
                <a:schemeClr val="dk1"/>
              </a:solidFill>
              <a:effectLst/>
              <a:latin typeface="+mn-lt"/>
              <a:ea typeface="+mn-ea"/>
              <a:cs typeface="+mn-cs"/>
            </a:rPr>
            <a:t>For Low Temp circuits, the calculator will select a small or large thermostatic mixing valve (TMV) depending on the head.</a:t>
          </a:r>
        </a:p>
        <a:p>
          <a:pPr marL="228600" indent="-228600">
            <a:buFont typeface="+mj-lt"/>
            <a:buAutoNum type="arabicPeriod"/>
          </a:pPr>
          <a:r>
            <a:rPr lang="en-CA" sz="1100" baseline="0">
              <a:solidFill>
                <a:schemeClr val="dk1"/>
              </a:solidFill>
              <a:effectLst/>
              <a:latin typeface="+mn-lt"/>
              <a:ea typeface="+mn-ea"/>
              <a:cs typeface="+mn-cs"/>
            </a:rPr>
            <a:t>Optional: Enter a label for each circuit. The circuits may be reordered and the label will help identify the circuits.</a:t>
          </a:r>
          <a:endParaRPr lang="en-CA" sz="1100"/>
        </a:p>
      </xdr:txBody>
    </xdr:sp>
    <xdr:clientData/>
  </xdr:twoCellAnchor>
  <xdr:twoCellAnchor>
    <xdr:from>
      <xdr:col>0</xdr:col>
      <xdr:colOff>0</xdr:colOff>
      <xdr:row>6</xdr:row>
      <xdr:rowOff>47625</xdr:rowOff>
    </xdr:from>
    <xdr:to>
      <xdr:col>13</xdr:col>
      <xdr:colOff>638174</xdr:colOff>
      <xdr:row>6</xdr:row>
      <xdr:rowOff>914400</xdr:rowOff>
    </xdr:to>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0" y="3371850"/>
          <a:ext cx="8277224"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pPr marL="0" indent="0">
            <a:buFontTx/>
            <a:buNone/>
          </a:pPr>
          <a:r>
            <a:rPr lang="en-CA" sz="1100" b="1" baseline="0">
              <a:solidFill>
                <a:schemeClr val="dk1"/>
              </a:solidFill>
              <a:effectLst/>
              <a:latin typeface="+mn-lt"/>
              <a:ea typeface="+mn-ea"/>
              <a:cs typeface="+mn-cs"/>
            </a:rPr>
            <a:t>Primary Circuit Input</a:t>
          </a:r>
        </a:p>
        <a:p>
          <a:pPr marL="228600" indent="-228600" eaLnBrk="1" fontAlgn="auto" latinLnBrk="0" hangingPunct="1">
            <a:buFont typeface="+mj-lt"/>
            <a:buAutoNum type="arabicPeriod"/>
          </a:pPr>
          <a:r>
            <a:rPr lang="en-CA" sz="1100">
              <a:solidFill>
                <a:schemeClr val="dk1"/>
              </a:solidFill>
              <a:effectLst/>
              <a:latin typeface="+mn-lt"/>
              <a:ea typeface="+mn-ea"/>
              <a:cs typeface="+mn-cs"/>
            </a:rPr>
            <a:t>Select whether a</a:t>
          </a:r>
          <a:r>
            <a:rPr lang="en-CA" sz="1100" baseline="0">
              <a:solidFill>
                <a:schemeClr val="dk1"/>
              </a:solidFill>
              <a:effectLst/>
              <a:latin typeface="+mn-lt"/>
              <a:ea typeface="+mn-ea"/>
              <a:cs typeface="+mn-cs"/>
            </a:rPr>
            <a:t> primary pump is required.</a:t>
          </a:r>
        </a:p>
        <a:p>
          <a:pPr marL="228600" indent="-228600" eaLnBrk="1" fontAlgn="auto" latinLnBrk="0" hangingPunct="1">
            <a:buFont typeface="+mj-lt"/>
            <a:buAutoNum type="arabicPeriod"/>
          </a:pPr>
          <a:r>
            <a:rPr lang="en-CA" sz="1100" baseline="0">
              <a:solidFill>
                <a:schemeClr val="dk1"/>
              </a:solidFill>
              <a:effectLst/>
              <a:latin typeface="+mn-lt"/>
              <a:ea typeface="+mn-ea"/>
              <a:cs typeface="+mn-cs"/>
            </a:rPr>
            <a:t>The flow rate is the sum of the secondary circuit flow rates, excluding the DHW circuit if applicable.</a:t>
          </a:r>
        </a:p>
        <a:p>
          <a:pPr marL="228600" indent="-228600" eaLnBrk="1" fontAlgn="auto" latinLnBrk="0" hangingPunct="1">
            <a:buFont typeface="+mj-lt"/>
            <a:buAutoNum type="arabicPeriod"/>
          </a:pPr>
          <a:r>
            <a:rPr lang="en-CA" sz="1100" baseline="0">
              <a:solidFill>
                <a:schemeClr val="dk1"/>
              </a:solidFill>
              <a:effectLst/>
              <a:latin typeface="+mn-lt"/>
              <a:ea typeface="+mn-ea"/>
              <a:cs typeface="+mn-cs"/>
            </a:rPr>
            <a:t>Enter the primary circuit headloss outside the panel (i.e. heat source and piping). Get this information from the system designer / equipment manufacturer.</a:t>
          </a:r>
          <a:endParaRPr lang="en-CA" sz="1100"/>
        </a:p>
      </xdr:txBody>
    </xdr:sp>
    <xdr:clientData/>
  </xdr:twoCellAnchor>
  <mc:AlternateContent xmlns:mc="http://schemas.openxmlformats.org/markup-compatibility/2006">
    <mc:Choice xmlns:a14="http://schemas.microsoft.com/office/drawing/2010/main" Requires="a14">
      <xdr:twoCellAnchor editAs="oneCell">
        <xdr:from>
          <xdr:col>7</xdr:col>
          <xdr:colOff>238125</xdr:colOff>
          <xdr:row>139</xdr:row>
          <xdr:rowOff>9525</xdr:rowOff>
        </xdr:from>
        <xdr:to>
          <xdr:col>7</xdr:col>
          <xdr:colOff>476250</xdr:colOff>
          <xdr:row>140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139</xdr:row>
          <xdr:rowOff>190500</xdr:rowOff>
        </xdr:from>
        <xdr:to>
          <xdr:col>7</xdr:col>
          <xdr:colOff>476250</xdr:colOff>
          <xdr:row>140</xdr:row>
          <xdr:rowOff>180975</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141</xdr:row>
          <xdr:rowOff>0</xdr:rowOff>
        </xdr:from>
        <xdr:to>
          <xdr:col>7</xdr:col>
          <xdr:colOff>476250</xdr:colOff>
          <xdr:row>141</xdr:row>
          <xdr:rowOff>180975</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141</xdr:row>
          <xdr:rowOff>0</xdr:rowOff>
        </xdr:from>
        <xdr:to>
          <xdr:col>6</xdr:col>
          <xdr:colOff>476250</xdr:colOff>
          <xdr:row>141</xdr:row>
          <xdr:rowOff>180975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141</xdr:row>
          <xdr:rowOff>0</xdr:rowOff>
        </xdr:from>
        <xdr:to>
          <xdr:col>5</xdr:col>
          <xdr:colOff>476250</xdr:colOff>
          <xdr:row>141</xdr:row>
          <xdr:rowOff>180975</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141</xdr:row>
          <xdr:rowOff>0</xdr:rowOff>
        </xdr:from>
        <xdr:to>
          <xdr:col>4</xdr:col>
          <xdr:colOff>476250</xdr:colOff>
          <xdr:row>141</xdr:row>
          <xdr:rowOff>180975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141</xdr:row>
          <xdr:rowOff>0</xdr:rowOff>
        </xdr:from>
        <xdr:to>
          <xdr:col>3</xdr:col>
          <xdr:colOff>476250</xdr:colOff>
          <xdr:row>141</xdr:row>
          <xdr:rowOff>180975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4</xdr:row>
      <xdr:rowOff>28575</xdr:rowOff>
    </xdr:from>
    <xdr:to>
      <xdr:col>13</xdr:col>
      <xdr:colOff>638174</xdr:colOff>
      <xdr:row>4</xdr:row>
      <xdr:rowOff>723901</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0" y="1857375"/>
          <a:ext cx="9915524" cy="695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pPr eaLnBrk="1" fontAlgn="auto" latinLnBrk="0" hangingPunct="1"/>
          <a:r>
            <a:rPr lang="en-CA" sz="1100" b="1">
              <a:solidFill>
                <a:schemeClr val="dk1"/>
              </a:solidFill>
              <a:effectLst/>
              <a:latin typeface="+mn-lt"/>
              <a:ea typeface="+mn-ea"/>
              <a:cs typeface="+mn-cs"/>
            </a:rPr>
            <a:t>First Steps</a:t>
          </a:r>
          <a:endParaRPr lang="en-CA">
            <a:effectLst/>
          </a:endParaRPr>
        </a:p>
        <a:p>
          <a:pPr marL="228600" indent="-228600">
            <a:buFont typeface="+mj-lt"/>
            <a:buAutoNum type="arabicPeriod"/>
          </a:pPr>
          <a:r>
            <a:rPr lang="en-CA" sz="1100">
              <a:solidFill>
                <a:schemeClr val="dk1"/>
              </a:solidFill>
              <a:effectLst/>
              <a:latin typeface="+mn-lt"/>
              <a:ea typeface="+mn-ea"/>
              <a:cs typeface="+mn-cs"/>
            </a:rPr>
            <a:t>Select </a:t>
          </a:r>
          <a:r>
            <a:rPr lang="en-CA" sz="1100" baseline="0">
              <a:solidFill>
                <a:schemeClr val="dk1"/>
              </a:solidFill>
              <a:effectLst/>
              <a:latin typeface="+mn-lt"/>
              <a:ea typeface="+mn-ea"/>
              <a:cs typeface="+mn-cs"/>
            </a:rPr>
            <a:t>the applicable country. </a:t>
          </a:r>
        </a:p>
        <a:p>
          <a:pPr marL="228600" indent="-228600">
            <a:buFont typeface="+mj-lt"/>
            <a:buAutoNum type="arabicPeriod"/>
          </a:pPr>
          <a:r>
            <a:rPr lang="en-CA" sz="1100" baseline="0">
              <a:solidFill>
                <a:schemeClr val="dk1"/>
              </a:solidFill>
              <a:effectLst/>
              <a:latin typeface="+mn-lt"/>
              <a:ea typeface="+mn-ea"/>
              <a:cs typeface="+mn-cs"/>
            </a:rPr>
            <a:t>Select the type of thermostat connection.</a:t>
          </a:r>
          <a:br>
            <a:rPr lang="en-CA" sz="1100" baseline="0">
              <a:solidFill>
                <a:schemeClr val="dk1"/>
              </a:solidFill>
              <a:effectLst/>
              <a:latin typeface="+mn-lt"/>
              <a:ea typeface="+mn-ea"/>
              <a:cs typeface="+mn-cs"/>
            </a:rPr>
          </a:br>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16</xdr:row>
          <xdr:rowOff>19050</xdr:rowOff>
        </xdr:from>
        <xdr:to>
          <xdr:col>2</xdr:col>
          <xdr:colOff>428625</xdr:colOff>
          <xdr:row>17</xdr:row>
          <xdr:rowOff>9525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9525</xdr:rowOff>
        </xdr:from>
        <xdr:to>
          <xdr:col>2</xdr:col>
          <xdr:colOff>428625</xdr:colOff>
          <xdr:row>18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xdr:row>
          <xdr:rowOff>9525</xdr:rowOff>
        </xdr:from>
        <xdr:to>
          <xdr:col>2</xdr:col>
          <xdr:colOff>428625</xdr:colOff>
          <xdr:row>19</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xdr:row>
          <xdr:rowOff>9525</xdr:rowOff>
        </xdr:from>
        <xdr:to>
          <xdr:col>2</xdr:col>
          <xdr:colOff>428625</xdr:colOff>
          <xdr:row>20</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20</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9525</xdr:rowOff>
        </xdr:from>
        <xdr:to>
          <xdr:col>3</xdr:col>
          <xdr:colOff>428625</xdr:colOff>
          <xdr:row>11</xdr:row>
          <xdr:rowOff>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3</xdr:col>
          <xdr:colOff>428625</xdr:colOff>
          <xdr:row>14</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9525</xdr:rowOff>
        </xdr:from>
        <xdr:to>
          <xdr:col>3</xdr:col>
          <xdr:colOff>428625</xdr:colOff>
          <xdr:row>14</xdr:row>
          <xdr:rowOff>190500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15</xdr:row>
          <xdr:rowOff>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9525</xdr:rowOff>
        </xdr:from>
        <xdr:to>
          <xdr:col>4</xdr:col>
          <xdr:colOff>428625</xdr:colOff>
          <xdr:row>11</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4</xdr:col>
          <xdr:colOff>428625</xdr:colOff>
          <xdr:row>14</xdr:row>
          <xdr:rowOff>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9525</xdr:rowOff>
        </xdr:from>
        <xdr:to>
          <xdr:col>4</xdr:col>
          <xdr:colOff>428625</xdr:colOff>
          <xdr:row>14</xdr:row>
          <xdr:rowOff>190500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15</xdr:row>
          <xdr:rowOff>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9525</xdr:rowOff>
        </xdr:from>
        <xdr:to>
          <xdr:col>5</xdr:col>
          <xdr:colOff>428625</xdr:colOff>
          <xdr:row>11</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9525</xdr:rowOff>
        </xdr:from>
        <xdr:to>
          <xdr:col>5</xdr:col>
          <xdr:colOff>428625</xdr:colOff>
          <xdr:row>13</xdr:row>
          <xdr:rowOff>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9525</xdr:rowOff>
        </xdr:from>
        <xdr:to>
          <xdr:col>5</xdr:col>
          <xdr:colOff>428625</xdr:colOff>
          <xdr:row>14</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9525</xdr:rowOff>
        </xdr:from>
        <xdr:to>
          <xdr:col>5</xdr:col>
          <xdr:colOff>428625</xdr:colOff>
          <xdr:row>14</xdr:row>
          <xdr:rowOff>190500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15</xdr:row>
          <xdr:rowOff>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xdr:row>
          <xdr:rowOff>9525</xdr:rowOff>
        </xdr:from>
        <xdr:to>
          <xdr:col>6</xdr:col>
          <xdr:colOff>438150</xdr:colOff>
          <xdr:row>11</xdr:row>
          <xdr:rowOff>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9525</xdr:rowOff>
        </xdr:from>
        <xdr:to>
          <xdr:col>6</xdr:col>
          <xdr:colOff>428625</xdr:colOff>
          <xdr:row>13</xdr:row>
          <xdr:rowOff>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9525</xdr:rowOff>
        </xdr:from>
        <xdr:to>
          <xdr:col>6</xdr:col>
          <xdr:colOff>428625</xdr:colOff>
          <xdr:row>14</xdr:row>
          <xdr:rowOff>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9525</xdr:rowOff>
        </xdr:from>
        <xdr:to>
          <xdr:col>6</xdr:col>
          <xdr:colOff>428625</xdr:colOff>
          <xdr:row>14</xdr:row>
          <xdr:rowOff>190500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15</xdr:row>
          <xdr:rowOff>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xdr:row>
          <xdr:rowOff>0</xdr:rowOff>
        </xdr:from>
        <xdr:to>
          <xdr:col>7</xdr:col>
          <xdr:colOff>428625</xdr:colOff>
          <xdr:row>11</xdr:row>
          <xdr:rowOff>180975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9525</xdr:rowOff>
        </xdr:from>
        <xdr:to>
          <xdr:col>7</xdr:col>
          <xdr:colOff>428625</xdr:colOff>
          <xdr:row>13</xdr:row>
          <xdr:rowOff>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9525</xdr:rowOff>
        </xdr:from>
        <xdr:to>
          <xdr:col>7</xdr:col>
          <xdr:colOff>428625</xdr:colOff>
          <xdr:row>14</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9525</xdr:rowOff>
        </xdr:from>
        <xdr:to>
          <xdr:col>7</xdr:col>
          <xdr:colOff>428625</xdr:colOff>
          <xdr:row>14</xdr:row>
          <xdr:rowOff>190500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15</xdr:row>
          <xdr:rowOff>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19049</xdr:colOff>
      <xdr:row>2</xdr:row>
      <xdr:rowOff>47625</xdr:rowOff>
    </xdr:from>
    <xdr:to>
      <xdr:col>13</xdr:col>
      <xdr:colOff>666749</xdr:colOff>
      <xdr:row>3</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9049" y="733425"/>
          <a:ext cx="10029825" cy="2419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mn-lt"/>
              <a:ea typeface="+mn-ea"/>
              <a:cs typeface="+mn-cs"/>
            </a:rPr>
            <a:t>Use this worksheet if the panel configuration is already known.</a:t>
          </a:r>
          <a:endParaRPr lang="en-CA">
            <a:effectLst/>
          </a:endParaRPr>
        </a:p>
        <a:p>
          <a:r>
            <a:rPr lang="en-CA" sz="1100">
              <a:solidFill>
                <a:schemeClr val="dk1"/>
              </a:solidFill>
              <a:effectLst/>
              <a:latin typeface="+mn-lt"/>
              <a:ea typeface="+mn-ea"/>
              <a:cs typeface="+mn-cs"/>
            </a:rPr>
            <a:t>Use the "Sizing" worksheet to check that your project requirements</a:t>
          </a:r>
          <a:r>
            <a:rPr lang="en-CA" sz="1100" baseline="0">
              <a:solidFill>
                <a:schemeClr val="dk1"/>
              </a:solidFill>
              <a:effectLst/>
              <a:latin typeface="+mn-lt"/>
              <a:ea typeface="+mn-ea"/>
              <a:cs typeface="+mn-cs"/>
            </a:rPr>
            <a:t> are within the panel capabilities.</a:t>
          </a:r>
          <a:endParaRPr lang="en-CA">
            <a:effectLst/>
          </a:endParaRP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Use the table below to select your panel configuration.</a:t>
          </a:r>
        </a:p>
        <a:p>
          <a:pPr marL="228600" lvl="0" indent="-228600">
            <a:buFont typeface="+mj-lt"/>
            <a:buAutoNum type="arabicPeriod"/>
            <a:tabLst>
              <a:tab pos="180000" algn="l"/>
            </a:tabLst>
          </a:pPr>
          <a:r>
            <a:rPr lang="en-CA" sz="1100">
              <a:solidFill>
                <a:schemeClr val="dk1"/>
              </a:solidFill>
              <a:effectLst/>
              <a:latin typeface="+mn-lt"/>
              <a:ea typeface="+mn-ea"/>
              <a:cs typeface="+mn-cs"/>
            </a:rPr>
            <a:t>Select your applicable Country</a:t>
          </a:r>
        </a:p>
        <a:p>
          <a:pPr marL="228600" lvl="0" indent="-228600">
            <a:buFont typeface="+mj-lt"/>
            <a:buAutoNum type="arabicPeriod"/>
            <a:tabLst>
              <a:tab pos="180000" algn="l"/>
            </a:tabLst>
          </a:pPr>
          <a:r>
            <a:rPr lang="en-CA" sz="1100">
              <a:solidFill>
                <a:schemeClr val="dk1"/>
              </a:solidFill>
              <a:effectLst/>
              <a:latin typeface="+mn-lt"/>
              <a:ea typeface="+mn-ea"/>
              <a:cs typeface="+mn-cs"/>
            </a:rPr>
            <a:t>Select</a:t>
          </a:r>
          <a:r>
            <a:rPr lang="en-CA" sz="1100" baseline="0">
              <a:solidFill>
                <a:schemeClr val="dk1"/>
              </a:solidFill>
              <a:effectLst/>
              <a:latin typeface="+mn-lt"/>
              <a:ea typeface="+mn-ea"/>
              <a:cs typeface="+mn-cs"/>
            </a:rPr>
            <a:t> the type of thermostat connection.</a:t>
          </a:r>
          <a:endParaRPr lang="en-CA" sz="1100">
            <a:solidFill>
              <a:schemeClr val="dk1"/>
            </a:solidFill>
            <a:effectLst/>
            <a:latin typeface="+mn-lt"/>
            <a:ea typeface="+mn-ea"/>
            <a:cs typeface="+mn-cs"/>
          </a:endParaRPr>
        </a:p>
        <a:p>
          <a:pPr marL="228600" lvl="0" indent="-228600">
            <a:buFont typeface="+mj-lt"/>
            <a:buAutoNum type="arabicPeriod"/>
            <a:tabLst>
              <a:tab pos="180000" algn="l"/>
            </a:tabLst>
          </a:pPr>
          <a:r>
            <a:rPr lang="en-CA" sz="1100">
              <a:solidFill>
                <a:schemeClr val="dk1"/>
              </a:solidFill>
              <a:effectLst/>
              <a:latin typeface="+mn-lt"/>
              <a:ea typeface="+mn-ea"/>
              <a:cs typeface="+mn-cs"/>
            </a:rPr>
            <a:t>Select a Primary Pump based on your system requirements</a:t>
          </a:r>
        </a:p>
        <a:p>
          <a:pPr marL="228600" lvl="0" indent="-228600">
            <a:buFont typeface="+mj-lt"/>
            <a:buAutoNum type="arabicPeriod"/>
            <a:tabLst/>
          </a:pPr>
          <a:r>
            <a:rPr lang="en-CA" sz="1100">
              <a:solidFill>
                <a:schemeClr val="dk1"/>
              </a:solidFill>
              <a:effectLst/>
              <a:latin typeface="+mn-lt"/>
              <a:ea typeface="+mn-ea"/>
              <a:cs typeface="+mn-cs"/>
            </a:rPr>
            <a:t>The TMP-Multi supports up to a maximum of five (5) circuits in total, or a maximum of 100,000 to 300,000 BTUs total load depending on primary pump selection.</a:t>
          </a:r>
        </a:p>
        <a:p>
          <a:pPr marL="228600" lvl="0" indent="-228600">
            <a:buFont typeface="+mj-lt"/>
            <a:buAutoNum type="arabicPeriod"/>
            <a:tabLst/>
          </a:pPr>
          <a:r>
            <a:rPr lang="en-CA" sz="1100">
              <a:solidFill>
                <a:schemeClr val="dk1"/>
              </a:solidFill>
              <a:effectLst/>
              <a:latin typeface="+mn-lt"/>
              <a:ea typeface="+mn-ea"/>
              <a:cs typeface="+mn-cs"/>
            </a:rPr>
            <a:t>Work </a:t>
          </a:r>
          <a:r>
            <a:rPr lang="en-CA" sz="1100" baseline="0">
              <a:solidFill>
                <a:schemeClr val="dk1"/>
              </a:solidFill>
              <a:effectLst/>
              <a:latin typeface="+mn-lt"/>
              <a:ea typeface="+mn-ea"/>
              <a:cs typeface="+mn-cs"/>
            </a:rPr>
            <a:t>from right to left in selecting the Secondary Circuit Configuration.</a:t>
          </a:r>
          <a:endParaRPr lang="en-CA" sz="1100">
            <a:solidFill>
              <a:schemeClr val="dk1"/>
            </a:solidFill>
            <a:effectLst/>
            <a:latin typeface="+mn-lt"/>
            <a:ea typeface="+mn-ea"/>
            <a:cs typeface="+mn-cs"/>
          </a:endParaRPr>
        </a:p>
        <a:p>
          <a:pPr marL="228600" lvl="0" indent="-228600">
            <a:buFont typeface="+mj-lt"/>
            <a:buAutoNum type="arabicPeriod"/>
            <a:tabLst>
              <a:tab pos="180000" algn="l"/>
            </a:tabLst>
          </a:pPr>
          <a:r>
            <a:rPr lang="en-CA" sz="1100">
              <a:solidFill>
                <a:schemeClr val="dk1"/>
              </a:solidFill>
              <a:effectLst/>
              <a:latin typeface="+mn-lt"/>
              <a:ea typeface="+mn-ea"/>
              <a:cs typeface="+mn-cs"/>
            </a:rPr>
            <a:t>If required, select a DHW circuit. This will provide domestic hot water priority to your system.</a:t>
          </a:r>
        </a:p>
        <a:p>
          <a:pPr marL="228600" lvl="0" indent="-228600">
            <a:buFont typeface="+mj-lt"/>
            <a:buAutoNum type="arabicPeriod"/>
            <a:tabLst>
              <a:tab pos="180000" algn="l"/>
            </a:tabLst>
          </a:pPr>
          <a:r>
            <a:rPr lang="en-CA" sz="1100">
              <a:solidFill>
                <a:schemeClr val="dk1"/>
              </a:solidFill>
              <a:effectLst/>
              <a:latin typeface="+mn-lt"/>
              <a:ea typeface="+mn-ea"/>
              <a:cs typeface="+mn-cs"/>
            </a:rPr>
            <a:t>Select up to two (2) Hi Temp circuits.</a:t>
          </a:r>
        </a:p>
        <a:p>
          <a:pPr marL="228600" lvl="0" indent="-228600">
            <a:buFont typeface="+mj-lt"/>
            <a:buAutoNum type="arabicPeriod"/>
            <a:tabLst>
              <a:tab pos="180000" algn="l"/>
            </a:tabLst>
          </a:pPr>
          <a:r>
            <a:rPr lang="en-CA" sz="1100">
              <a:solidFill>
                <a:schemeClr val="dk1"/>
              </a:solidFill>
              <a:effectLst/>
              <a:latin typeface="+mn-lt"/>
              <a:ea typeface="+mn-ea"/>
              <a:cs typeface="+mn-cs"/>
            </a:rPr>
            <a:t>Select up to a total of five (5) Low Temp circuits, depending on how many Hi Temp circuits were selected. Select (L)arge</a:t>
          </a:r>
          <a:r>
            <a:rPr lang="en-CA" sz="1100" baseline="0">
              <a:solidFill>
                <a:schemeClr val="dk1"/>
              </a:solidFill>
              <a:effectLst/>
              <a:latin typeface="+mn-lt"/>
              <a:ea typeface="+mn-ea"/>
              <a:cs typeface="+mn-cs"/>
            </a:rPr>
            <a:t> circuits first, then (S)mall circuits.</a:t>
          </a:r>
          <a:endParaRPr lang="en-CA" sz="1100">
            <a:solidFill>
              <a:schemeClr val="dk1"/>
            </a:solidFill>
            <a:effectLst/>
            <a:latin typeface="+mn-lt"/>
            <a:ea typeface="+mn-ea"/>
            <a:cs typeface="+mn-cs"/>
          </a:endParaRPr>
        </a:p>
        <a:p>
          <a:pPr marL="171450" lvl="0" indent="-171450">
            <a:buFont typeface="Arial" panose="020B0604020202020204" pitchFamily="34" charset="0"/>
            <a:buChar char="•"/>
            <a:tabLst>
              <a:tab pos="180000" algn="l"/>
            </a:tabLst>
          </a:pPr>
          <a:r>
            <a:rPr lang="en-CA" sz="1100">
              <a:solidFill>
                <a:schemeClr val="dk1"/>
              </a:solidFill>
              <a:effectLst/>
              <a:latin typeface="+mn-lt"/>
              <a:ea typeface="+mn-ea"/>
              <a:cs typeface="+mn-cs"/>
            </a:rPr>
            <a:t>The TMP Multi is configurable for left or right boiler feed connections. The panel comes with an accessory pack so the installer can choose which side to make the boiler connections. See diagram for flow direction details.</a:t>
          </a:r>
        </a:p>
        <a:p>
          <a:endParaRPr lang="en-CA" sz="1100"/>
        </a:p>
      </xdr:txBody>
    </xdr:sp>
    <xdr:clientData/>
  </xdr:twoCellAnchor>
  <xdr:twoCellAnchor editAs="oneCell">
    <xdr:from>
      <xdr:col>0</xdr:col>
      <xdr:colOff>104775</xdr:colOff>
      <xdr:row>0</xdr:row>
      <xdr:rowOff>76201</xdr:rowOff>
    </xdr:from>
    <xdr:to>
      <xdr:col>1</xdr:col>
      <xdr:colOff>133350</xdr:colOff>
      <xdr:row>0</xdr:row>
      <xdr:rowOff>438150</xdr:rowOff>
    </xdr:to>
    <xdr:pic>
      <xdr:nvPicPr>
        <xdr:cNvPr id="36" name="Picture 1">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1"/>
          <a:ext cx="1504950"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304800</xdr:colOff>
      <xdr:row>0</xdr:row>
      <xdr:rowOff>95250</xdr:rowOff>
    </xdr:from>
    <xdr:to>
      <xdr:col>28</xdr:col>
      <xdr:colOff>237371</xdr:colOff>
      <xdr:row>18</xdr:row>
      <xdr:rowOff>94444</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14297025" y="95250"/>
          <a:ext cx="6028571" cy="64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printerSettings" Target="../printerSettings/printerSettings3.bin"/><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2" Type="http://schemas.openxmlformats.org/officeDocument/2006/relationships/printerSettings" Target="../printerSettings/printerSettings2.bin"/><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5" Type="http://schemas.openxmlformats.org/officeDocument/2006/relationships/hyperlink" Target="http://www.get-digital-help.com/2009/06/06/sorting-numbers-and-text-cells-descending-also-removing-blanks-using-array-formula-in-excel/"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printerSettings" Target="../printerSettings/printerSettings4.bin"/><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8"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printerSettings" Target="../printerSettings/printerSettings8.bin"/><Relationship Id="rId21" Type="http://schemas.openxmlformats.org/officeDocument/2006/relationships/ctrlProp" Target="../ctrlProps/ctrlProp42.xml"/><Relationship Id="rId34" Type="http://schemas.openxmlformats.org/officeDocument/2006/relationships/ctrlProp" Target="../ctrlProps/ctrlProp55.xml"/><Relationship Id="rId7" Type="http://schemas.openxmlformats.org/officeDocument/2006/relationships/vmlDrawing" Target="../drawings/vmlDrawing2.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2" Type="http://schemas.openxmlformats.org/officeDocument/2006/relationships/printerSettings" Target="../printerSettings/printerSettings7.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6.bin"/><Relationship Id="rId6" Type="http://schemas.openxmlformats.org/officeDocument/2006/relationships/drawing" Target="../drawings/drawing2.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5" Type="http://schemas.openxmlformats.org/officeDocument/2006/relationships/printerSettings" Target="../printerSettings/printerSettings10.bin"/><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printerSettings" Target="../printerSettings/printerSettings9.bin"/><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8"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P158"/>
  <sheetViews>
    <sheetView showGridLines="0" zoomScaleNormal="100" workbookViewId="0">
      <selection activeCell="B10" sqref="B10"/>
    </sheetView>
  </sheetViews>
  <sheetFormatPr defaultRowHeight="15" x14ac:dyDescent="0.25"/>
  <cols>
    <col min="1" max="1" width="22" customWidth="1"/>
    <col min="2" max="2" width="20.7109375" customWidth="1"/>
    <col min="3" max="8" width="10.7109375" customWidth="1"/>
    <col min="9" max="9" width="5.42578125" style="1" bestFit="1" customWidth="1"/>
    <col min="10" max="10" width="6.140625" style="1" hidden="1" customWidth="1"/>
    <col min="11" max="11" width="16.140625" style="1" hidden="1" customWidth="1"/>
    <col min="12" max="12" width="9.140625" style="1" hidden="1" customWidth="1"/>
    <col min="13" max="13" width="5.42578125" style="1" hidden="1" customWidth="1"/>
    <col min="14" max="14" width="11.140625" style="1" hidden="1" customWidth="1"/>
    <col min="15" max="16" width="9.140625" hidden="1" customWidth="1"/>
    <col min="17" max="18" width="9.140625" customWidth="1"/>
  </cols>
  <sheetData>
    <row r="1" spans="1:14" ht="36" customHeight="1" x14ac:dyDescent="0.25"/>
    <row r="2" spans="1:14" x14ac:dyDescent="0.25">
      <c r="A2" s="2" t="str">
        <f>'Configuration Known'!A2</f>
        <v>TMP-MULTI Pricing Calculator</v>
      </c>
    </row>
    <row r="3" spans="1:14" ht="35.25" customHeight="1" x14ac:dyDescent="0.25">
      <c r="I3"/>
      <c r="J3"/>
      <c r="K3"/>
      <c r="L3"/>
      <c r="M3"/>
      <c r="N3"/>
    </row>
    <row r="4" spans="1:14" ht="57.75" customHeight="1" x14ac:dyDescent="0.25">
      <c r="I4"/>
      <c r="J4"/>
      <c r="K4"/>
      <c r="L4"/>
      <c r="M4"/>
      <c r="N4"/>
    </row>
    <row r="5" spans="1:14" ht="47.25" customHeight="1" x14ac:dyDescent="0.25">
      <c r="I5"/>
      <c r="J5"/>
      <c r="K5"/>
      <c r="L5"/>
      <c r="M5"/>
      <c r="N5"/>
    </row>
    <row r="6" spans="1:14" ht="117.75" customHeight="1" x14ac:dyDescent="0.25">
      <c r="I6"/>
      <c r="J6"/>
      <c r="K6"/>
      <c r="L6"/>
      <c r="M6"/>
      <c r="N6"/>
    </row>
    <row r="7" spans="1:14" ht="63.75" customHeight="1" x14ac:dyDescent="0.25">
      <c r="I7"/>
      <c r="J7"/>
      <c r="K7"/>
      <c r="L7"/>
      <c r="M7"/>
      <c r="N7"/>
    </row>
    <row r="8" spans="1:14" ht="75" customHeight="1" x14ac:dyDescent="0.25"/>
    <row r="10" spans="1:14" x14ac:dyDescent="0.25">
      <c r="A10" s="2" t="s">
        <v>114</v>
      </c>
      <c r="B10" s="23" t="s">
        <v>115</v>
      </c>
    </row>
    <row r="11" spans="1:14" x14ac:dyDescent="0.25">
      <c r="A11" s="2" t="s">
        <v>117</v>
      </c>
      <c r="B11" s="63">
        <f>IF($B$10="Canada",'Configuration Known'!$P$5,IF($B$10="USA",'Configuration Known'!$P$6,"Select Country First"))</f>
        <v>45108</v>
      </c>
    </row>
    <row r="12" spans="1:14" x14ac:dyDescent="0.25">
      <c r="A12" s="2" t="s">
        <v>129</v>
      </c>
      <c r="B12" s="65" t="s">
        <v>125</v>
      </c>
      <c r="C12" t="str">
        <f>IF(B12='Configuration Known'!Q6," *Wireless Internet Gateway #43301 required (sold separately)","")</f>
        <v/>
      </c>
    </row>
    <row r="13" spans="1:14" ht="13.5" customHeight="1" x14ac:dyDescent="0.25">
      <c r="B13" t="str">
        <f>IF(ISBLANK(B12),"Select Thermostat Connection","")</f>
        <v/>
      </c>
    </row>
    <row r="14" spans="1:14" x14ac:dyDescent="0.25">
      <c r="A14" s="44" t="s">
        <v>81</v>
      </c>
      <c r="B14" s="45"/>
      <c r="C14" s="44"/>
      <c r="D14" s="44"/>
      <c r="E14" s="44"/>
      <c r="F14" s="46"/>
      <c r="G14" s="46"/>
      <c r="H14" s="46"/>
      <c r="I14" s="47"/>
      <c r="J14" s="47"/>
      <c r="K14" s="47"/>
      <c r="L14" s="47"/>
      <c r="M14" s="47"/>
      <c r="N14" s="47"/>
    </row>
    <row r="15" spans="1:14" x14ac:dyDescent="0.25">
      <c r="C15" s="81" t="s">
        <v>78</v>
      </c>
      <c r="D15" s="82"/>
      <c r="E15" s="82"/>
      <c r="F15" s="82"/>
      <c r="G15" s="82"/>
      <c r="H15" s="82"/>
    </row>
    <row r="16" spans="1:14" ht="15.75" thickBot="1" x14ac:dyDescent="0.3">
      <c r="B16" s="2" t="s">
        <v>86</v>
      </c>
      <c r="C16" s="51" t="s">
        <v>82</v>
      </c>
      <c r="D16" s="51" t="s">
        <v>83</v>
      </c>
      <c r="E16" s="51" t="s">
        <v>84</v>
      </c>
      <c r="F16" s="51" t="s">
        <v>2</v>
      </c>
      <c r="G16" s="51" t="s">
        <v>85</v>
      </c>
      <c r="H16" s="53"/>
    </row>
    <row r="17" spans="2:13" x14ac:dyDescent="0.25">
      <c r="B17" s="2" t="s">
        <v>63</v>
      </c>
      <c r="C17" s="23" t="s">
        <v>12</v>
      </c>
      <c r="D17" s="23" t="s">
        <v>12</v>
      </c>
      <c r="E17" s="23" t="s">
        <v>12</v>
      </c>
      <c r="F17" s="23" t="s">
        <v>12</v>
      </c>
      <c r="G17" s="23" t="s">
        <v>12</v>
      </c>
      <c r="H17" s="52"/>
    </row>
    <row r="18" spans="2:13" x14ac:dyDescent="0.25">
      <c r="B18" s="2" t="s">
        <v>47</v>
      </c>
      <c r="C18" s="23"/>
      <c r="D18" s="23"/>
      <c r="E18" s="23"/>
      <c r="F18" s="23"/>
      <c r="G18" s="23"/>
      <c r="H18" s="52"/>
    </row>
    <row r="19" spans="2:13" x14ac:dyDescent="0.25">
      <c r="B19" s="2" t="s">
        <v>46</v>
      </c>
      <c r="C19" s="23"/>
      <c r="D19" s="23"/>
      <c r="E19" s="23"/>
      <c r="F19" s="23"/>
      <c r="G19" s="23"/>
      <c r="H19" s="52"/>
    </row>
    <row r="20" spans="2:13" x14ac:dyDescent="0.25">
      <c r="B20" s="46" t="s">
        <v>41</v>
      </c>
      <c r="C20" s="59" t="str">
        <f>IFERROR(INDEX(C45:C47,C32),"")</f>
        <v/>
      </c>
      <c r="D20" s="59" t="str">
        <f t="shared" ref="D20:G20" si="0">IFERROR(INDEX(D45:D47,D32),"")</f>
        <v/>
      </c>
      <c r="E20" s="59" t="str">
        <f t="shared" si="0"/>
        <v/>
      </c>
      <c r="F20" s="59" t="str">
        <f t="shared" si="0"/>
        <v/>
      </c>
      <c r="G20" s="59" t="str">
        <f t="shared" si="0"/>
        <v/>
      </c>
      <c r="H20" s="22" t="str">
        <f>IFERROR(INDEX(H46:H47,H32),"")</f>
        <v/>
      </c>
    </row>
    <row r="21" spans="2:13" x14ac:dyDescent="0.25">
      <c r="B21" t="s">
        <v>45</v>
      </c>
      <c r="C21" s="22" t="str">
        <f t="shared" ref="C21:H21" si="1">IFERROR(C20-C19,"")</f>
        <v/>
      </c>
      <c r="D21" s="22" t="str">
        <f t="shared" si="1"/>
        <v/>
      </c>
      <c r="E21" s="22" t="str">
        <f t="shared" si="1"/>
        <v/>
      </c>
      <c r="F21" s="22" t="str">
        <f t="shared" si="1"/>
        <v/>
      </c>
      <c r="G21" s="22" t="str">
        <f t="shared" si="1"/>
        <v/>
      </c>
      <c r="H21" s="22" t="str">
        <f t="shared" si="1"/>
        <v/>
      </c>
    </row>
    <row r="22" spans="2:13" x14ac:dyDescent="0.25">
      <c r="B22" s="46" t="s">
        <v>105</v>
      </c>
      <c r="C22" s="59"/>
      <c r="D22" s="59"/>
      <c r="E22" s="59"/>
      <c r="F22" s="59"/>
      <c r="G22" s="59"/>
      <c r="H22" s="22"/>
      <c r="L22" s="35" t="s">
        <v>107</v>
      </c>
      <c r="M22" s="35" t="s">
        <v>53</v>
      </c>
    </row>
    <row r="23" spans="2:13" x14ac:dyDescent="0.25">
      <c r="B23" s="37" t="s">
        <v>102</v>
      </c>
      <c r="C23" s="54" t="str">
        <f>IF(C$17="Low Temp",C$41,"")</f>
        <v/>
      </c>
      <c r="D23" s="54" t="str">
        <f t="shared" ref="D23:G23" si="2">IF(D$17="Low Temp",D$41,"")</f>
        <v/>
      </c>
      <c r="E23" s="54" t="str">
        <f t="shared" si="2"/>
        <v/>
      </c>
      <c r="F23" s="54" t="str">
        <f t="shared" si="2"/>
        <v/>
      </c>
      <c r="G23" s="54" t="str">
        <f t="shared" si="2"/>
        <v/>
      </c>
      <c r="H23" s="22"/>
      <c r="L23" s="12" t="s">
        <v>108</v>
      </c>
      <c r="M23" s="12">
        <f>E82</f>
        <v>1.8</v>
      </c>
    </row>
    <row r="24" spans="2:13" x14ac:dyDescent="0.25">
      <c r="B24" s="37" t="s">
        <v>103</v>
      </c>
      <c r="C24" s="54" t="str">
        <f>IF(C$17="Low Temp",C$40,"")</f>
        <v/>
      </c>
      <c r="D24" s="54" t="str">
        <f t="shared" ref="D24:G24" si="3">IF(D$17="Low Temp",D$40,"")</f>
        <v/>
      </c>
      <c r="E24" s="54" t="str">
        <f t="shared" si="3"/>
        <v/>
      </c>
      <c r="F24" s="54" t="str">
        <f t="shared" si="3"/>
        <v/>
      </c>
      <c r="G24" s="54" t="str">
        <f t="shared" si="3"/>
        <v/>
      </c>
      <c r="H24" s="22"/>
      <c r="L24" s="12" t="s">
        <v>109</v>
      </c>
      <c r="M24" s="12">
        <f>E81</f>
        <v>3.7</v>
      </c>
    </row>
    <row r="25" spans="2:13" x14ac:dyDescent="0.25">
      <c r="B25" s="46" t="s">
        <v>104</v>
      </c>
      <c r="C25" s="56"/>
      <c r="D25" s="56"/>
      <c r="E25" s="56"/>
      <c r="F25" s="56"/>
      <c r="G25" s="56"/>
      <c r="H25" s="22"/>
    </row>
    <row r="26" spans="2:13" x14ac:dyDescent="0.25">
      <c r="B26" s="37" t="s">
        <v>102</v>
      </c>
      <c r="C26" s="54" t="str">
        <f>IF(C17="Low Temp",C59,"")</f>
        <v/>
      </c>
      <c r="D26" s="54" t="str">
        <f>IF(D17="Low Temp",D59,"")</f>
        <v/>
      </c>
      <c r="E26" s="54" t="str">
        <f>IF(E17="Low Temp",E59,"")</f>
        <v/>
      </c>
      <c r="F26" s="54" t="str">
        <f>IF(F17="Low Temp",F59,"")</f>
        <v/>
      </c>
      <c r="G26" s="54" t="str">
        <f>IF(G17="Low Temp",G59,"")</f>
        <v/>
      </c>
      <c r="H26" s="22"/>
    </row>
    <row r="27" spans="2:13" x14ac:dyDescent="0.25">
      <c r="B27" s="57" t="s">
        <v>103</v>
      </c>
      <c r="C27" s="58" t="str">
        <f>IF(C17="Low Temp",C58,"")</f>
        <v/>
      </c>
      <c r="D27" s="58" t="str">
        <f>IF(D17="Low Temp",D58,"")</f>
        <v/>
      </c>
      <c r="E27" s="58" t="str">
        <f>IF(E17="Low Temp",E58,"")</f>
        <v/>
      </c>
      <c r="F27" s="58" t="str">
        <f>IF(F17="Low Temp",F58,"")</f>
        <v/>
      </c>
      <c r="G27" s="58" t="str">
        <f>IF(G17="Low Temp",G58,"")</f>
        <v/>
      </c>
      <c r="H27" s="22"/>
    </row>
    <row r="28" spans="2:13" hidden="1" x14ac:dyDescent="0.25">
      <c r="B28" s="37"/>
      <c r="C28" s="54"/>
      <c r="D28" s="54"/>
      <c r="E28" s="54"/>
      <c r="F28" s="54"/>
      <c r="G28" s="54"/>
      <c r="H28" s="22"/>
    </row>
    <row r="29" spans="2:13" hidden="1" x14ac:dyDescent="0.25">
      <c r="B29" t="s">
        <v>67</v>
      </c>
      <c r="C29" s="22" t="str">
        <f t="shared" ref="C29:H29" si="4">IFERROR(IF(C21&lt;0,CONCATENATE("Circuit ",C16," loss too high. "),""),"")</f>
        <v/>
      </c>
      <c r="D29" s="22" t="str">
        <f t="shared" si="4"/>
        <v/>
      </c>
      <c r="E29" s="22" t="str">
        <f t="shared" si="4"/>
        <v/>
      </c>
      <c r="F29" s="22" t="str">
        <f t="shared" si="4"/>
        <v/>
      </c>
      <c r="G29" s="22" t="str">
        <f t="shared" si="4"/>
        <v/>
      </c>
      <c r="H29" s="22" t="str">
        <f t="shared" si="4"/>
        <v/>
      </c>
      <c r="J29" s="69" t="str">
        <f>IF(J32&lt;2,"Configure at least two circuits.","")</f>
        <v>Configure at least two circuits.</v>
      </c>
    </row>
    <row r="30" spans="2:13" hidden="1" x14ac:dyDescent="0.25">
      <c r="B30" t="s">
        <v>67</v>
      </c>
      <c r="C30" s="1" t="str">
        <f>IF(COUNTIF(C32:H32,2)&gt;2,"Max. two (2) Hi Temp circuits. ","")</f>
        <v/>
      </c>
      <c r="D30" s="22"/>
      <c r="E30" s="22"/>
      <c r="F30" s="22"/>
      <c r="G30" s="22"/>
      <c r="H30" s="22"/>
    </row>
    <row r="31" spans="2:13" hidden="1" x14ac:dyDescent="0.25">
      <c r="B31" t="s">
        <v>87</v>
      </c>
      <c r="C31" s="1" t="s">
        <v>88</v>
      </c>
      <c r="D31" s="1" t="s">
        <v>89</v>
      </c>
      <c r="E31" s="1" t="s">
        <v>90</v>
      </c>
      <c r="F31" s="1" t="s">
        <v>91</v>
      </c>
      <c r="G31" s="1" t="s">
        <v>92</v>
      </c>
      <c r="H31" s="1" t="s">
        <v>93</v>
      </c>
    </row>
    <row r="32" spans="2:13" hidden="1" x14ac:dyDescent="0.25">
      <c r="B32" s="9" t="s">
        <v>62</v>
      </c>
      <c r="C32" s="12" t="str">
        <f t="shared" ref="C32:H32" si="5">IFERROR(MATCH(C17,$B$75:$B$77,0),"")</f>
        <v/>
      </c>
      <c r="D32" s="12" t="str">
        <f t="shared" si="5"/>
        <v/>
      </c>
      <c r="E32" s="12" t="str">
        <f t="shared" si="5"/>
        <v/>
      </c>
      <c r="F32" s="12" t="str">
        <f t="shared" si="5"/>
        <v/>
      </c>
      <c r="G32" s="12" t="str">
        <f t="shared" si="5"/>
        <v/>
      </c>
      <c r="H32" s="12" t="str">
        <f t="shared" si="5"/>
        <v/>
      </c>
      <c r="J32" s="69">
        <f>COUNT(C32:H32)</f>
        <v>0</v>
      </c>
    </row>
    <row r="33" spans="2:8" hidden="1" x14ac:dyDescent="0.25">
      <c r="B33" s="9" t="s">
        <v>61</v>
      </c>
      <c r="C33" s="12" t="str">
        <f>IFERROR(IF(C32=3,C54,IF(C32=1,C53,IF(C32=2,$C$76,C32))),"")</f>
        <v/>
      </c>
      <c r="D33" s="12" t="str">
        <f t="shared" ref="D33:H33" si="6">IFERROR(IF(D32=3,D54,IF(D32=1,D53,IF(D32=2,$C$76,D32))),"")</f>
        <v/>
      </c>
      <c r="E33" s="12" t="str">
        <f t="shared" si="6"/>
        <v/>
      </c>
      <c r="F33" s="12" t="str">
        <f t="shared" si="6"/>
        <v/>
      </c>
      <c r="G33" s="12" t="str">
        <f t="shared" si="6"/>
        <v/>
      </c>
      <c r="H33" s="12" t="str">
        <f t="shared" si="6"/>
        <v/>
      </c>
    </row>
    <row r="34" spans="2:8" hidden="1" x14ac:dyDescent="0.25">
      <c r="C34" s="1"/>
      <c r="D34" s="1"/>
      <c r="E34" s="1"/>
      <c r="F34" s="1"/>
      <c r="G34" s="1"/>
      <c r="H34" s="1"/>
    </row>
    <row r="35" spans="2:8" hidden="1" x14ac:dyDescent="0.25">
      <c r="B35" s="31" t="s">
        <v>41</v>
      </c>
      <c r="C35" s="36"/>
      <c r="D35" s="36"/>
      <c r="E35" s="36"/>
      <c r="F35" s="36"/>
      <c r="G35" s="36"/>
      <c r="H35" s="36"/>
    </row>
    <row r="36" spans="2:8" hidden="1" x14ac:dyDescent="0.25">
      <c r="B36" s="9" t="s">
        <v>33</v>
      </c>
      <c r="C36" s="27">
        <f t="shared" ref="C36:H36" si="7">-0.0149*C18^2-0.8589*C18+19.541</f>
        <v>19.541</v>
      </c>
      <c r="D36" s="27">
        <f t="shared" si="7"/>
        <v>19.541</v>
      </c>
      <c r="E36" s="27">
        <f t="shared" si="7"/>
        <v>19.541</v>
      </c>
      <c r="F36" s="27">
        <f t="shared" si="7"/>
        <v>19.541</v>
      </c>
      <c r="G36" s="27">
        <f t="shared" si="7"/>
        <v>19.541</v>
      </c>
      <c r="H36" s="27">
        <f t="shared" si="7"/>
        <v>19.541</v>
      </c>
    </row>
    <row r="37" spans="2:8" hidden="1" x14ac:dyDescent="0.25">
      <c r="B37" s="9" t="s">
        <v>110</v>
      </c>
      <c r="C37" s="27">
        <f>-0.013*C18^2-0.5395*C18+30.089</f>
        <v>30.088999999999999</v>
      </c>
      <c r="D37" s="27">
        <f t="shared" ref="D37:H37" si="8">-0.013*D18^2-0.5395*D18+30.089</f>
        <v>30.088999999999999</v>
      </c>
      <c r="E37" s="27">
        <f t="shared" si="8"/>
        <v>30.088999999999999</v>
      </c>
      <c r="F37" s="27">
        <f t="shared" si="8"/>
        <v>30.088999999999999</v>
      </c>
      <c r="G37" s="27">
        <f t="shared" si="8"/>
        <v>30.088999999999999</v>
      </c>
      <c r="H37" s="27">
        <f t="shared" si="8"/>
        <v>30.088999999999999</v>
      </c>
    </row>
    <row r="38" spans="2:8" hidden="1" x14ac:dyDescent="0.25">
      <c r="C38" s="22"/>
      <c r="D38" s="22"/>
      <c r="E38" s="22"/>
      <c r="F38" s="22"/>
      <c r="G38" s="22"/>
      <c r="H38" s="22"/>
    </row>
    <row r="39" spans="2:8" hidden="1" x14ac:dyDescent="0.25">
      <c r="B39" s="31" t="s">
        <v>43</v>
      </c>
      <c r="C39" s="43" t="s">
        <v>74</v>
      </c>
      <c r="D39" s="35"/>
      <c r="E39" s="35"/>
      <c r="F39" s="35"/>
      <c r="G39" s="35"/>
      <c r="H39" s="35"/>
    </row>
    <row r="40" spans="2:8" hidden="1" x14ac:dyDescent="0.25">
      <c r="B40" s="9" t="str">
        <f>B81</f>
        <v>Low Temp (Lrg. TMV)</v>
      </c>
      <c r="C40" s="27">
        <f t="shared" ref="C40:H40" si="9">$C$66*(C$18/$E$81)^2/$C$71</f>
        <v>0</v>
      </c>
      <c r="D40" s="27">
        <f t="shared" si="9"/>
        <v>0</v>
      </c>
      <c r="E40" s="27">
        <f t="shared" si="9"/>
        <v>0</v>
      </c>
      <c r="F40" s="27">
        <f t="shared" si="9"/>
        <v>0</v>
      </c>
      <c r="G40" s="27">
        <f t="shared" si="9"/>
        <v>0</v>
      </c>
      <c r="H40" s="27">
        <f t="shared" si="9"/>
        <v>0</v>
      </c>
    </row>
    <row r="41" spans="2:8" hidden="1" x14ac:dyDescent="0.25">
      <c r="B41" s="9" t="str">
        <f>B82</f>
        <v>Low Temp (Sm. TMV)</v>
      </c>
      <c r="C41" s="27">
        <f t="shared" ref="C41:H41" si="10">$C$66*(C$18/$E$82)^2/$C$71</f>
        <v>0</v>
      </c>
      <c r="D41" s="27">
        <f t="shared" si="10"/>
        <v>0</v>
      </c>
      <c r="E41" s="27">
        <f t="shared" si="10"/>
        <v>0</v>
      </c>
      <c r="F41" s="27">
        <f t="shared" si="10"/>
        <v>0</v>
      </c>
      <c r="G41" s="27">
        <f t="shared" si="10"/>
        <v>0</v>
      </c>
      <c r="H41" s="27">
        <f t="shared" si="10"/>
        <v>0</v>
      </c>
    </row>
    <row r="42" spans="2:8" hidden="1" x14ac:dyDescent="0.25">
      <c r="B42" s="9" t="s">
        <v>42</v>
      </c>
      <c r="C42" s="27">
        <f t="shared" ref="C42:H42" si="11">$C$86</f>
        <v>0.75</v>
      </c>
      <c r="D42" s="27">
        <f t="shared" si="11"/>
        <v>0.75</v>
      </c>
      <c r="E42" s="27">
        <f t="shared" si="11"/>
        <v>0.75</v>
      </c>
      <c r="F42" s="27">
        <f t="shared" si="11"/>
        <v>0.75</v>
      </c>
      <c r="G42" s="27">
        <f t="shared" si="11"/>
        <v>0.75</v>
      </c>
      <c r="H42" s="27">
        <f t="shared" si="11"/>
        <v>0.75</v>
      </c>
    </row>
    <row r="43" spans="2:8" hidden="1" x14ac:dyDescent="0.25">
      <c r="C43" s="22"/>
      <c r="D43" s="22"/>
      <c r="E43" s="22"/>
      <c r="F43" s="22"/>
      <c r="G43" s="22"/>
      <c r="H43" s="22"/>
    </row>
    <row r="44" spans="2:8" hidden="1" x14ac:dyDescent="0.25">
      <c r="B44" s="31" t="s">
        <v>60</v>
      </c>
      <c r="C44" s="32"/>
      <c r="D44" s="32"/>
      <c r="E44" s="32"/>
      <c r="F44" s="32"/>
      <c r="G44" s="32"/>
      <c r="H44" s="32"/>
    </row>
    <row r="45" spans="2:8" hidden="1" x14ac:dyDescent="0.25">
      <c r="B45" s="9" t="e">
        <f>CONCATENATE(B48," or ",B49)</f>
        <v>#REF!</v>
      </c>
      <c r="C45" s="27">
        <f>C48</f>
        <v>18.791</v>
      </c>
      <c r="D45" s="27">
        <f t="shared" ref="D45:H45" si="12">D48</f>
        <v>18.791</v>
      </c>
      <c r="E45" s="27">
        <f t="shared" si="12"/>
        <v>18.791</v>
      </c>
      <c r="F45" s="27">
        <f t="shared" si="12"/>
        <v>18.791</v>
      </c>
      <c r="G45" s="27">
        <f t="shared" si="12"/>
        <v>18.791</v>
      </c>
      <c r="H45" s="27">
        <f t="shared" si="12"/>
        <v>18.791</v>
      </c>
    </row>
    <row r="46" spans="2:8" hidden="1" x14ac:dyDescent="0.25">
      <c r="B46" s="9" t="str">
        <f>C76</f>
        <v>H</v>
      </c>
      <c r="C46" s="27">
        <f t="shared" ref="C46:H46" si="13">C$36-C$42</f>
        <v>18.791</v>
      </c>
      <c r="D46" s="27">
        <f t="shared" si="13"/>
        <v>18.791</v>
      </c>
      <c r="E46" s="27">
        <f t="shared" si="13"/>
        <v>18.791</v>
      </c>
      <c r="F46" s="27">
        <f t="shared" si="13"/>
        <v>18.791</v>
      </c>
      <c r="G46" s="27">
        <f t="shared" si="13"/>
        <v>18.791</v>
      </c>
      <c r="H46" s="27">
        <f t="shared" si="13"/>
        <v>18.791</v>
      </c>
    </row>
    <row r="47" spans="2:8" hidden="1" x14ac:dyDescent="0.25">
      <c r="B47" s="32" t="str">
        <f>CONCATENATE(B50," or ",B51)</f>
        <v>L or S</v>
      </c>
      <c r="C47" s="36">
        <f t="shared" ref="C47:H47" si="14">IF((C51-C19)&lt;$C$85,C50,C51)</f>
        <v>18.791</v>
      </c>
      <c r="D47" s="36">
        <f t="shared" si="14"/>
        <v>18.791</v>
      </c>
      <c r="E47" s="36">
        <f t="shared" si="14"/>
        <v>18.791</v>
      </c>
      <c r="F47" s="36">
        <f t="shared" si="14"/>
        <v>18.791</v>
      </c>
      <c r="G47" s="36">
        <f t="shared" si="14"/>
        <v>18.791</v>
      </c>
      <c r="H47" s="36">
        <f t="shared" si="14"/>
        <v>18.791</v>
      </c>
    </row>
    <row r="48" spans="2:8" hidden="1" x14ac:dyDescent="0.25">
      <c r="B48" s="9" t="str">
        <f>C79</f>
        <v>D</v>
      </c>
      <c r="C48" s="27">
        <f t="shared" ref="C48:H48" si="15">C$36-C$42</f>
        <v>18.791</v>
      </c>
      <c r="D48" s="27">
        <f t="shared" si="15"/>
        <v>18.791</v>
      </c>
      <c r="E48" s="27">
        <f t="shared" si="15"/>
        <v>18.791</v>
      </c>
      <c r="F48" s="27">
        <f t="shared" si="15"/>
        <v>18.791</v>
      </c>
      <c r="G48" s="27">
        <f t="shared" si="15"/>
        <v>18.791</v>
      </c>
      <c r="H48" s="27">
        <f t="shared" si="15"/>
        <v>18.791</v>
      </c>
    </row>
    <row r="49" spans="2:9" hidden="1" x14ac:dyDescent="0.25">
      <c r="B49" s="9" t="e">
        <f>C80</f>
        <v>#REF!</v>
      </c>
      <c r="C49" s="27">
        <f>C$37-C$42</f>
        <v>29.338999999999999</v>
      </c>
      <c r="D49" s="27">
        <f t="shared" ref="D49:H49" si="16">D$37-D$42</f>
        <v>29.338999999999999</v>
      </c>
      <c r="E49" s="27">
        <f t="shared" si="16"/>
        <v>29.338999999999999</v>
      </c>
      <c r="F49" s="27">
        <f t="shared" si="16"/>
        <v>29.338999999999999</v>
      </c>
      <c r="G49" s="27">
        <f t="shared" si="16"/>
        <v>29.338999999999999</v>
      </c>
      <c r="H49" s="27">
        <f t="shared" si="16"/>
        <v>29.338999999999999</v>
      </c>
    </row>
    <row r="50" spans="2:9" hidden="1" x14ac:dyDescent="0.25">
      <c r="B50" s="9" t="str">
        <f>C81</f>
        <v>L</v>
      </c>
      <c r="C50" s="27">
        <f t="shared" ref="C50:H50" si="17">C$36-C$42-C$40</f>
        <v>18.791</v>
      </c>
      <c r="D50" s="27">
        <f t="shared" si="17"/>
        <v>18.791</v>
      </c>
      <c r="E50" s="27">
        <f t="shared" si="17"/>
        <v>18.791</v>
      </c>
      <c r="F50" s="27">
        <f t="shared" si="17"/>
        <v>18.791</v>
      </c>
      <c r="G50" s="27">
        <f t="shared" si="17"/>
        <v>18.791</v>
      </c>
      <c r="H50" s="27">
        <f t="shared" si="17"/>
        <v>18.791</v>
      </c>
    </row>
    <row r="51" spans="2:9" hidden="1" x14ac:dyDescent="0.25">
      <c r="B51" s="9" t="str">
        <f>C82</f>
        <v>S</v>
      </c>
      <c r="C51" s="27">
        <f t="shared" ref="C51:H51" si="18">C$36-C$42-C$41</f>
        <v>18.791</v>
      </c>
      <c r="D51" s="27">
        <f t="shared" si="18"/>
        <v>18.791</v>
      </c>
      <c r="E51" s="27">
        <f t="shared" si="18"/>
        <v>18.791</v>
      </c>
      <c r="F51" s="27">
        <f t="shared" si="18"/>
        <v>18.791</v>
      </c>
      <c r="G51" s="27">
        <f t="shared" si="18"/>
        <v>18.791</v>
      </c>
      <c r="H51" s="27">
        <f t="shared" si="18"/>
        <v>18.791</v>
      </c>
    </row>
    <row r="52" spans="2:9" hidden="1" x14ac:dyDescent="0.25">
      <c r="B52" s="9"/>
      <c r="C52" s="12"/>
      <c r="D52" s="12"/>
      <c r="E52" s="12"/>
      <c r="F52" s="12"/>
      <c r="G52" s="12"/>
      <c r="H52" s="55"/>
    </row>
    <row r="53" spans="2:9" hidden="1" x14ac:dyDescent="0.25">
      <c r="B53" s="9" t="e">
        <f>CONCATENATE("Choose ",B45)</f>
        <v>#REF!</v>
      </c>
      <c r="C53" s="12" t="str">
        <f>$B$48</f>
        <v>D</v>
      </c>
      <c r="D53" s="12" t="str">
        <f t="shared" ref="D53:H53" si="19">$B$48</f>
        <v>D</v>
      </c>
      <c r="E53" s="12" t="str">
        <f t="shared" si="19"/>
        <v>D</v>
      </c>
      <c r="F53" s="12" t="str">
        <f t="shared" si="19"/>
        <v>D</v>
      </c>
      <c r="G53" s="12" t="str">
        <f t="shared" si="19"/>
        <v>D</v>
      </c>
      <c r="H53" s="12" t="str">
        <f t="shared" si="19"/>
        <v>D</v>
      </c>
    </row>
    <row r="54" spans="2:9" hidden="1" x14ac:dyDescent="0.25">
      <c r="B54" s="9" t="str">
        <f>CONCATENATE("Choose ",B47)</f>
        <v>Choose L or S</v>
      </c>
      <c r="C54" s="27" t="str">
        <f t="shared" ref="C54:H54" si="20">IF((C51-C19)&lt;$C$85,$B$50,$B$51)</f>
        <v>S</v>
      </c>
      <c r="D54" s="27" t="str">
        <f t="shared" si="20"/>
        <v>S</v>
      </c>
      <c r="E54" s="27" t="str">
        <f t="shared" si="20"/>
        <v>S</v>
      </c>
      <c r="F54" s="27" t="str">
        <f t="shared" si="20"/>
        <v>S</v>
      </c>
      <c r="G54" s="27" t="str">
        <f t="shared" si="20"/>
        <v>S</v>
      </c>
      <c r="H54" s="27" t="str">
        <f t="shared" si="20"/>
        <v>S</v>
      </c>
    </row>
    <row r="55" spans="2:9" hidden="1" x14ac:dyDescent="0.25"/>
    <row r="56" spans="2:9" hidden="1" x14ac:dyDescent="0.25">
      <c r="B56" s="31" t="s">
        <v>106</v>
      </c>
      <c r="C56" s="32"/>
      <c r="D56" s="32"/>
      <c r="E56" s="32"/>
      <c r="F56" s="32"/>
      <c r="G56" s="32"/>
      <c r="H56" s="32"/>
    </row>
    <row r="57" spans="2:9" hidden="1" x14ac:dyDescent="0.25">
      <c r="B57" s="9" t="s">
        <v>101</v>
      </c>
      <c r="C57" s="9"/>
      <c r="D57" s="9"/>
      <c r="E57" s="9"/>
      <c r="F57" s="9"/>
      <c r="G57" s="9"/>
      <c r="H57" s="9"/>
    </row>
    <row r="58" spans="2:9" hidden="1" x14ac:dyDescent="0.25">
      <c r="B58" s="9" t="s">
        <v>5</v>
      </c>
      <c r="C58" s="9">
        <f t="shared" ref="C58:H58" si="21" xml:space="preserve"> ROUNDDOWN((SQRT(1507298681 - 73360000 * (C19+$C$86)) - 8589)/3668,1)</f>
        <v>8</v>
      </c>
      <c r="D58" s="9">
        <f t="shared" si="21"/>
        <v>8</v>
      </c>
      <c r="E58" s="9">
        <f t="shared" si="21"/>
        <v>8</v>
      </c>
      <c r="F58" s="9">
        <f t="shared" si="21"/>
        <v>8</v>
      </c>
      <c r="G58" s="9">
        <f t="shared" si="21"/>
        <v>8</v>
      </c>
      <c r="H58" s="9">
        <f t="shared" si="21"/>
        <v>8</v>
      </c>
    </row>
    <row r="59" spans="2:9" hidden="1" x14ac:dyDescent="0.25">
      <c r="B59" s="9" t="s">
        <v>4</v>
      </c>
      <c r="C59" s="9">
        <f t="shared" ref="C59:H59" si="22">ROUNDDOWN((SQRT(5754730441 - 290720000*(C19+$C$85+$C$86)) - 8589)/14536,1)</f>
        <v>4.3</v>
      </c>
      <c r="D59" s="9">
        <f t="shared" si="22"/>
        <v>4.3</v>
      </c>
      <c r="E59" s="9">
        <f t="shared" si="22"/>
        <v>4.3</v>
      </c>
      <c r="F59" s="9">
        <f t="shared" si="22"/>
        <v>4.3</v>
      </c>
      <c r="G59" s="9">
        <f t="shared" si="22"/>
        <v>4.3</v>
      </c>
      <c r="H59" s="9">
        <f t="shared" si="22"/>
        <v>4.3</v>
      </c>
    </row>
    <row r="60" spans="2:9" hidden="1" x14ac:dyDescent="0.25"/>
    <row r="61" spans="2:9" hidden="1" x14ac:dyDescent="0.25">
      <c r="B61" s="31" t="s">
        <v>122</v>
      </c>
      <c r="C61" s="31"/>
      <c r="D61" s="31"/>
      <c r="E61" s="31"/>
      <c r="F61" s="31"/>
      <c r="G61" s="31"/>
      <c r="H61" s="31"/>
      <c r="I61" s="33" t="s">
        <v>20</v>
      </c>
    </row>
    <row r="62" spans="2:9" hidden="1" x14ac:dyDescent="0.25">
      <c r="B62" s="9" t="s">
        <v>6</v>
      </c>
      <c r="C62" s="9">
        <f>IF(C33="D",C18,0)</f>
        <v>0</v>
      </c>
      <c r="D62" s="9">
        <f t="shared" ref="D62:G62" si="23">IF(D33="D",D18,0)</f>
        <v>0</v>
      </c>
      <c r="E62" s="9">
        <f t="shared" si="23"/>
        <v>0</v>
      </c>
      <c r="F62" s="9">
        <f t="shared" si="23"/>
        <v>0</v>
      </c>
      <c r="G62" s="9">
        <f t="shared" si="23"/>
        <v>0</v>
      </c>
      <c r="H62" s="9">
        <f t="shared" ref="H62" si="24">IF(H17="DHW",H18,0)</f>
        <v>0</v>
      </c>
      <c r="I62" s="30">
        <f>SUM(C62:G62)</f>
        <v>0</v>
      </c>
    </row>
    <row r="63" spans="2:9" hidden="1" x14ac:dyDescent="0.25">
      <c r="B63" s="9" t="s">
        <v>123</v>
      </c>
      <c r="C63" s="9">
        <f>IF(OR(C33="S",C33="H",C33="L"),C18,0)</f>
        <v>0</v>
      </c>
      <c r="D63" s="9">
        <f t="shared" ref="D63:H63" si="25">IF(OR(D33="S",D33="H",D33="L"),D18,0)</f>
        <v>0</v>
      </c>
      <c r="E63" s="9">
        <f t="shared" si="25"/>
        <v>0</v>
      </c>
      <c r="F63" s="9">
        <f t="shared" si="25"/>
        <v>0</v>
      </c>
      <c r="G63" s="9">
        <f t="shared" si="25"/>
        <v>0</v>
      </c>
      <c r="H63" s="9">
        <f t="shared" si="25"/>
        <v>0</v>
      </c>
      <c r="I63" s="30">
        <f>SUM(C63:G63)</f>
        <v>0</v>
      </c>
    </row>
    <row r="64" spans="2:9" hidden="1" x14ac:dyDescent="0.25"/>
    <row r="65" spans="2:7" hidden="1" x14ac:dyDescent="0.25">
      <c r="B65" s="31" t="s">
        <v>59</v>
      </c>
      <c r="C65" s="32"/>
    </row>
    <row r="66" spans="2:7" hidden="1" x14ac:dyDescent="0.25">
      <c r="B66" s="9" t="s">
        <v>58</v>
      </c>
      <c r="C66" s="9">
        <v>1</v>
      </c>
    </row>
    <row r="67" spans="2:7" hidden="1" x14ac:dyDescent="0.25"/>
    <row r="68" spans="2:7" hidden="1" x14ac:dyDescent="0.25"/>
    <row r="69" spans="2:7" hidden="1" x14ac:dyDescent="0.25">
      <c r="B69" s="31" t="s">
        <v>57</v>
      </c>
      <c r="C69" s="32"/>
    </row>
    <row r="70" spans="2:7" hidden="1" x14ac:dyDescent="0.25">
      <c r="B70" s="9" t="s">
        <v>56</v>
      </c>
      <c r="C70" s="9" t="s">
        <v>55</v>
      </c>
    </row>
    <row r="71" spans="2:7" hidden="1" x14ac:dyDescent="0.25">
      <c r="B71" s="9">
        <v>1</v>
      </c>
      <c r="C71" s="9">
        <v>0.43352750193</v>
      </c>
    </row>
    <row r="72" spans="2:7" hidden="1" x14ac:dyDescent="0.25"/>
    <row r="73" spans="2:7" hidden="1" x14ac:dyDescent="0.25"/>
    <row r="74" spans="2:7" hidden="1" x14ac:dyDescent="0.25">
      <c r="B74" s="34" t="s">
        <v>54</v>
      </c>
      <c r="C74" s="35"/>
      <c r="D74" s="31" t="s">
        <v>21</v>
      </c>
      <c r="E74" s="31" t="s">
        <v>53</v>
      </c>
      <c r="F74" s="31" t="s">
        <v>52</v>
      </c>
      <c r="G74" s="31" t="s">
        <v>11</v>
      </c>
    </row>
    <row r="75" spans="2:7" hidden="1" x14ac:dyDescent="0.25">
      <c r="B75" s="25" t="s">
        <v>6</v>
      </c>
      <c r="C75" s="12"/>
      <c r="D75" s="9"/>
      <c r="E75" s="9"/>
      <c r="F75" s="9">
        <f>COUNTIF($C$17:$H$17,B75)</f>
        <v>0</v>
      </c>
      <c r="G75" s="28"/>
    </row>
    <row r="76" spans="2:7" hidden="1" x14ac:dyDescent="0.25">
      <c r="B76" s="25" t="str">
        <f>'Configuration Known'!B13</f>
        <v>Hi Temp</v>
      </c>
      <c r="C76" s="12" t="str">
        <f>'Configuration Known'!A13</f>
        <v>H</v>
      </c>
      <c r="D76" s="9"/>
      <c r="E76" s="9"/>
      <c r="F76" s="9">
        <f>COUNTIF($C$17:$H$17,B76)</f>
        <v>0</v>
      </c>
      <c r="G76" s="28"/>
    </row>
    <row r="77" spans="2:7" hidden="1" x14ac:dyDescent="0.25">
      <c r="B77" s="25" t="s">
        <v>51</v>
      </c>
      <c r="C77" s="12"/>
      <c r="D77" s="9"/>
      <c r="E77" s="9"/>
      <c r="F77" s="9">
        <f>COUNTIF($C$17:$H$17,B77)</f>
        <v>0</v>
      </c>
      <c r="G77" s="28"/>
    </row>
    <row r="78" spans="2:7" hidden="1" x14ac:dyDescent="0.25">
      <c r="B78" s="60" t="str">
        <f>'Configuration Known'!B11</f>
        <v>None</v>
      </c>
      <c r="C78" s="35" t="str">
        <f>'Configuration Known'!A11</f>
        <v>n/a</v>
      </c>
      <c r="D78" s="32"/>
      <c r="E78" s="32"/>
      <c r="F78" s="32">
        <f>COUNTIF($C$17:$H$17,B78)</f>
        <v>5</v>
      </c>
      <c r="G78" s="61"/>
    </row>
    <row r="79" spans="2:7" hidden="1" x14ac:dyDescent="0.25">
      <c r="B79" s="25" t="str">
        <f>'Configuration Known'!B12</f>
        <v>DHW</v>
      </c>
      <c r="C79" s="12" t="str">
        <f>'Configuration Known'!A12</f>
        <v>D</v>
      </c>
      <c r="D79" s="9"/>
      <c r="E79" s="9"/>
      <c r="F79" s="9"/>
      <c r="G79" s="28"/>
    </row>
    <row r="80" spans="2:7" hidden="1" x14ac:dyDescent="0.25">
      <c r="B80" s="25" t="e">
        <f>'Configuration Known'!#REF!</f>
        <v>#REF!</v>
      </c>
      <c r="C80" s="12" t="e">
        <f>'Configuration Known'!#REF!</f>
        <v>#REF!</v>
      </c>
      <c r="D80" s="9"/>
      <c r="E80" s="9"/>
      <c r="F80" s="9"/>
      <c r="G80" s="28"/>
    </row>
    <row r="81" spans="2:8" hidden="1" x14ac:dyDescent="0.25">
      <c r="B81" s="25" t="str">
        <f>'Configuration Known'!B14</f>
        <v>Low Temp (Lrg. TMV)</v>
      </c>
      <c r="C81" s="12" t="str">
        <f>'Configuration Known'!A14</f>
        <v>L</v>
      </c>
      <c r="D81" s="9"/>
      <c r="E81" s="12">
        <v>3.7</v>
      </c>
      <c r="F81" s="9"/>
      <c r="G81" s="28"/>
    </row>
    <row r="82" spans="2:8" hidden="1" x14ac:dyDescent="0.25">
      <c r="B82" s="25" t="str">
        <f>'Configuration Known'!B15</f>
        <v>Low Temp (Sm. TMV)</v>
      </c>
      <c r="C82" s="12" t="str">
        <f>'Configuration Known'!A15</f>
        <v>S</v>
      </c>
      <c r="D82" s="9"/>
      <c r="E82" s="12">
        <v>1.8</v>
      </c>
      <c r="F82" s="9"/>
      <c r="G82" s="28"/>
    </row>
    <row r="83" spans="2:8" hidden="1" x14ac:dyDescent="0.25">
      <c r="B83" s="11"/>
      <c r="C83" s="1"/>
      <c r="E83" s="1"/>
    </row>
    <row r="84" spans="2:8" hidden="1" x14ac:dyDescent="0.25">
      <c r="B84" s="11"/>
    </row>
    <row r="85" spans="2:8" ht="45" hidden="1" x14ac:dyDescent="0.25">
      <c r="B85" s="24" t="s">
        <v>50</v>
      </c>
      <c r="C85" s="12">
        <v>1</v>
      </c>
    </row>
    <row r="86" spans="2:8" ht="45" hidden="1" x14ac:dyDescent="0.25">
      <c r="B86" s="20" t="s">
        <v>49</v>
      </c>
      <c r="C86" s="12">
        <v>0.75</v>
      </c>
    </row>
    <row r="88" spans="2:8" ht="15.75" thickBot="1" x14ac:dyDescent="0.3">
      <c r="C88" s="10" t="s">
        <v>79</v>
      </c>
      <c r="D88" s="1"/>
      <c r="E88" s="1"/>
    </row>
    <row r="89" spans="2:8" x14ac:dyDescent="0.25">
      <c r="B89" s="2" t="s">
        <v>48</v>
      </c>
      <c r="C89" s="23" t="s">
        <v>34</v>
      </c>
      <c r="D89" s="1"/>
      <c r="E89" s="73" t="str">
        <f>IF(E90&lt;&gt;"","Please check the following:","")</f>
        <v>Please check the following:</v>
      </c>
      <c r="F89" s="37"/>
      <c r="G89" s="37"/>
      <c r="H89" s="37"/>
    </row>
    <row r="90" spans="2:8" ht="15" customHeight="1" x14ac:dyDescent="0.25">
      <c r="B90" t="s">
        <v>64</v>
      </c>
      <c r="C90" s="1">
        <f>IF(I62&gt;I63,I62,I63)</f>
        <v>0</v>
      </c>
      <c r="D90" s="1"/>
      <c r="E90" s="79" t="str">
        <f>CONCATENATE(C30, C94,C95,H29,G29,F29,E29,D29,C29,J29)</f>
        <v>Configure at least two circuits.</v>
      </c>
      <c r="F90" s="80"/>
      <c r="G90" s="80"/>
      <c r="H90" s="80"/>
    </row>
    <row r="91" spans="2:8" x14ac:dyDescent="0.25">
      <c r="B91" s="2" t="s">
        <v>46</v>
      </c>
      <c r="C91" s="23"/>
      <c r="D91" s="1"/>
      <c r="E91" s="80"/>
      <c r="F91" s="80"/>
      <c r="G91" s="80"/>
      <c r="H91" s="80"/>
    </row>
    <row r="92" spans="2:8" x14ac:dyDescent="0.25">
      <c r="B92" t="s">
        <v>41</v>
      </c>
      <c r="C92" s="22" t="str">
        <f>IF(C89="Yes",C100,"")</f>
        <v/>
      </c>
      <c r="D92" s="1"/>
      <c r="E92" s="80"/>
      <c r="F92" s="80"/>
      <c r="G92" s="80"/>
      <c r="H92" s="80"/>
    </row>
    <row r="93" spans="2:8" x14ac:dyDescent="0.25">
      <c r="B93" t="s">
        <v>45</v>
      </c>
      <c r="C93" s="22" t="str">
        <f>IFERROR(C92-C91,"")</f>
        <v/>
      </c>
      <c r="D93" s="22"/>
      <c r="E93" s="80"/>
      <c r="F93" s="80"/>
      <c r="G93" s="80"/>
      <c r="H93" s="80"/>
    </row>
    <row r="94" spans="2:8" hidden="1" x14ac:dyDescent="0.25">
      <c r="B94" t="s">
        <v>68</v>
      </c>
      <c r="C94" s="22" t="str">
        <f>IFERROR(IF($C$93&lt;0,"Primary circuit loss too high. ",""),"")</f>
        <v/>
      </c>
      <c r="E94" s="22"/>
    </row>
    <row r="95" spans="2:8" hidden="1" x14ac:dyDescent="0.25">
      <c r="B95" t="s">
        <v>68</v>
      </c>
      <c r="C95" s="22" t="str">
        <f>IF($C$90&lt;=$C$120,"","Primary Circuit flow out of range. ")</f>
        <v/>
      </c>
      <c r="D95" s="1"/>
      <c r="E95" s="1"/>
    </row>
    <row r="96" spans="2:8" hidden="1" x14ac:dyDescent="0.25">
      <c r="C96" s="22"/>
      <c r="D96" s="1"/>
      <c r="E96" s="1"/>
    </row>
    <row r="97" spans="2:8" hidden="1" x14ac:dyDescent="0.25">
      <c r="C97" s="1"/>
      <c r="D97" s="1"/>
      <c r="E97" s="1"/>
    </row>
    <row r="98" spans="2:8" hidden="1" x14ac:dyDescent="0.25">
      <c r="B98" s="31" t="s">
        <v>38</v>
      </c>
      <c r="C98" s="32"/>
      <c r="D98" s="1"/>
      <c r="E98" s="1"/>
    </row>
    <row r="99" spans="2:8" hidden="1" x14ac:dyDescent="0.25">
      <c r="B99" s="9" t="s">
        <v>37</v>
      </c>
      <c r="C99" s="12">
        <f>IF(C89="Yes",IF(H113&gt;$C$118,C113,IF(H114&gt;$C$118,C114,C115)),0)</f>
        <v>0</v>
      </c>
      <c r="D99" s="1"/>
      <c r="E99" s="1"/>
    </row>
    <row r="100" spans="2:8" hidden="1" x14ac:dyDescent="0.25">
      <c r="B100" s="9" t="s">
        <v>66</v>
      </c>
      <c r="C100" s="27" t="str">
        <f>IFERROR(INDEX($G$113:$G$115,$C$99),"Out of Range")</f>
        <v>Out of Range</v>
      </c>
      <c r="D100" s="1"/>
      <c r="E100" s="1"/>
    </row>
    <row r="101" spans="2:8" hidden="1" x14ac:dyDescent="0.25">
      <c r="B101" s="9"/>
      <c r="C101" s="12"/>
    </row>
    <row r="102" spans="2:8" hidden="1" x14ac:dyDescent="0.25">
      <c r="B102" s="9" t="s">
        <v>44</v>
      </c>
      <c r="C102" s="12" t="str">
        <f>CONCATENATE(C111,C99)</f>
        <v>P0</v>
      </c>
      <c r="D102" s="21"/>
      <c r="E102" s="21"/>
    </row>
    <row r="103" spans="2:8" hidden="1" x14ac:dyDescent="0.25">
      <c r="D103" s="21"/>
      <c r="E103" s="21"/>
    </row>
    <row r="104" spans="2:8" hidden="1" x14ac:dyDescent="0.25"/>
    <row r="105" spans="2:8" hidden="1" x14ac:dyDescent="0.25">
      <c r="B105" s="31" t="s">
        <v>36</v>
      </c>
      <c r="C105" s="32"/>
    </row>
    <row r="106" spans="2:8" hidden="1" x14ac:dyDescent="0.25">
      <c r="B106" s="9" t="s">
        <v>35</v>
      </c>
      <c r="C106" s="9">
        <v>1</v>
      </c>
    </row>
    <row r="107" spans="2:8" hidden="1" x14ac:dyDescent="0.25">
      <c r="B107" s="9" t="s">
        <v>34</v>
      </c>
      <c r="C107" s="9">
        <v>0</v>
      </c>
    </row>
    <row r="108" spans="2:8" hidden="1" x14ac:dyDescent="0.25"/>
    <row r="109" spans="2:8" hidden="1" x14ac:dyDescent="0.25"/>
    <row r="110" spans="2:8" hidden="1" x14ac:dyDescent="0.25">
      <c r="B110" s="26"/>
      <c r="C110" s="26"/>
      <c r="D110" s="26"/>
      <c r="E110" s="26"/>
      <c r="F110" s="26" t="s">
        <v>41</v>
      </c>
      <c r="G110" s="30"/>
      <c r="H110" s="30"/>
    </row>
    <row r="111" spans="2:8" hidden="1" x14ac:dyDescent="0.25">
      <c r="B111" s="31" t="str">
        <f>'Configuration Known'!B16</f>
        <v>Primary Pump</v>
      </c>
      <c r="C111" s="33" t="str">
        <f>'Configuration Known'!A16</f>
        <v>P</v>
      </c>
      <c r="D111" s="31" t="str">
        <f>'Configuration Known'!K10</f>
        <v>SKU Descriptions</v>
      </c>
      <c r="E111" s="31" t="str">
        <f>'Configuration Known'!L10</f>
        <v>List Price</v>
      </c>
      <c r="F111" s="31" t="s">
        <v>72</v>
      </c>
      <c r="G111" s="31" t="s">
        <v>40</v>
      </c>
      <c r="H111" s="31" t="s">
        <v>39</v>
      </c>
    </row>
    <row r="112" spans="2:8" hidden="1" x14ac:dyDescent="0.25">
      <c r="B112" s="9" t="str">
        <f>'Configuration Known'!B17</f>
        <v>None</v>
      </c>
      <c r="C112" s="12">
        <f>'Configuration Known'!A17</f>
        <v>0</v>
      </c>
      <c r="D112" s="9"/>
      <c r="E112" s="28"/>
      <c r="F112" s="9"/>
      <c r="G112" s="9"/>
      <c r="H112" s="9"/>
    </row>
    <row r="113" spans="1:10" hidden="1" x14ac:dyDescent="0.25">
      <c r="B113" s="9" t="str">
        <f>'Configuration Known'!B18</f>
        <v>UPS15-58</v>
      </c>
      <c r="C113" s="12">
        <f>'Configuration Known'!A18</f>
        <v>1</v>
      </c>
      <c r="D113" s="9"/>
      <c r="E113" s="28"/>
      <c r="F113" s="27">
        <f>-0.0149*C90^2-0.8589*C90+19.541</f>
        <v>19.541</v>
      </c>
      <c r="G113" s="27">
        <f>F113-$C$119</f>
        <v>18.791</v>
      </c>
      <c r="H113" s="29">
        <f>G113-$C$91</f>
        <v>18.791</v>
      </c>
    </row>
    <row r="114" spans="1:10" hidden="1" x14ac:dyDescent="0.25">
      <c r="B114" s="9" t="str">
        <f>'Configuration Known'!B19</f>
        <v>UPS26-99</v>
      </c>
      <c r="C114" s="12">
        <f>'Configuration Known'!A19</f>
        <v>2</v>
      </c>
      <c r="D114" s="9"/>
      <c r="E114" s="28"/>
      <c r="F114" s="27">
        <f>-0.013*C90^2-0.5395*C90+30.089</f>
        <v>30.088999999999999</v>
      </c>
      <c r="G114" s="27">
        <f>F114-$C$119</f>
        <v>29.338999999999999</v>
      </c>
      <c r="H114" s="29">
        <f>G114-$C$91</f>
        <v>29.338999999999999</v>
      </c>
    </row>
    <row r="115" spans="1:10" hidden="1" x14ac:dyDescent="0.25">
      <c r="B115" s="9" t="str">
        <f>'Configuration Known'!B20</f>
        <v>UPS26-150</v>
      </c>
      <c r="C115" s="12">
        <f>'Configuration Known'!A20</f>
        <v>3</v>
      </c>
      <c r="D115" s="9"/>
      <c r="E115" s="28"/>
      <c r="F115" s="27">
        <f>-0.004*C90^2-0.661*C90+45.944</f>
        <v>45.944000000000003</v>
      </c>
      <c r="G115" s="27">
        <f>F115-$C$119</f>
        <v>45.194000000000003</v>
      </c>
      <c r="H115" s="29">
        <f>G115-$C$91</f>
        <v>45.194000000000003</v>
      </c>
    </row>
    <row r="116" spans="1:10" hidden="1" x14ac:dyDescent="0.25">
      <c r="B116" t="s">
        <v>73</v>
      </c>
      <c r="C116" s="1"/>
    </row>
    <row r="117" spans="1:10" hidden="1" x14ac:dyDescent="0.25"/>
    <row r="118" spans="1:10" ht="45" hidden="1" x14ac:dyDescent="0.25">
      <c r="B118" s="20" t="s">
        <v>32</v>
      </c>
      <c r="C118" s="12">
        <v>1</v>
      </c>
    </row>
    <row r="119" spans="1:10" ht="45" hidden="1" x14ac:dyDescent="0.25">
      <c r="B119" s="20" t="s">
        <v>49</v>
      </c>
      <c r="C119" s="12">
        <v>0.75</v>
      </c>
    </row>
    <row r="120" spans="1:10" ht="30" hidden="1" x14ac:dyDescent="0.25">
      <c r="B120" s="20" t="s">
        <v>65</v>
      </c>
      <c r="C120" s="12">
        <v>25</v>
      </c>
    </row>
    <row r="121" spans="1:10" hidden="1" x14ac:dyDescent="0.25">
      <c r="B121" s="37"/>
      <c r="C121" s="1"/>
    </row>
    <row r="122" spans="1:10" hidden="1" x14ac:dyDescent="0.25">
      <c r="A122" s="11" t="s">
        <v>71</v>
      </c>
      <c r="B122" s="1">
        <f>C99</f>
        <v>0</v>
      </c>
      <c r="C122" s="1" t="str">
        <f t="shared" ref="C122:H122" si="26">C33</f>
        <v/>
      </c>
      <c r="D122" s="1" t="str">
        <f t="shared" si="26"/>
        <v/>
      </c>
      <c r="E122" s="1" t="str">
        <f t="shared" si="26"/>
        <v/>
      </c>
      <c r="F122" s="1" t="str">
        <f t="shared" si="26"/>
        <v/>
      </c>
      <c r="G122" s="1" t="str">
        <f t="shared" si="26"/>
        <v/>
      </c>
      <c r="H122" s="1" t="str">
        <f t="shared" si="26"/>
        <v/>
      </c>
    </row>
    <row r="123" spans="1:10" hidden="1" x14ac:dyDescent="0.25">
      <c r="A123" s="11" t="s">
        <v>97</v>
      </c>
      <c r="B123" s="1"/>
      <c r="C123" s="1">
        <f t="shared" ref="C123:H123" si="27">IFERROR(MATCH(C122,$A$139:$A$142,0),9)</f>
        <v>9</v>
      </c>
      <c r="D123" s="1">
        <f t="shared" si="27"/>
        <v>9</v>
      </c>
      <c r="E123" s="1">
        <f t="shared" si="27"/>
        <v>9</v>
      </c>
      <c r="F123" s="1">
        <f t="shared" si="27"/>
        <v>9</v>
      </c>
      <c r="G123" s="1">
        <f t="shared" si="27"/>
        <v>9</v>
      </c>
      <c r="H123" s="1">
        <f t="shared" si="27"/>
        <v>9</v>
      </c>
    </row>
    <row r="124" spans="1:10" hidden="1" x14ac:dyDescent="0.25">
      <c r="A124" t="s">
        <v>98</v>
      </c>
      <c r="C124" s="1">
        <f t="shared" ref="C124:H124" si="28">IFERROR(INDEX($J$139:$J$142,C123),9)</f>
        <v>9</v>
      </c>
      <c r="D124" s="1">
        <f t="shared" si="28"/>
        <v>9</v>
      </c>
      <c r="E124" s="1">
        <f t="shared" si="28"/>
        <v>9</v>
      </c>
      <c r="F124" s="1">
        <f t="shared" si="28"/>
        <v>9</v>
      </c>
      <c r="G124" s="1">
        <f t="shared" si="28"/>
        <v>9</v>
      </c>
      <c r="H124" s="1">
        <f t="shared" si="28"/>
        <v>9</v>
      </c>
    </row>
    <row r="125" spans="1:10" hidden="1" x14ac:dyDescent="0.25">
      <c r="A125" t="s">
        <v>94</v>
      </c>
      <c r="C125" s="1" t="str">
        <f t="shared" ref="C125:H125" si="29">CONCATENATE(C124,C31)</f>
        <v>9a</v>
      </c>
      <c r="D125" s="1" t="str">
        <f t="shared" si="29"/>
        <v>9b</v>
      </c>
      <c r="E125" s="1" t="str">
        <f t="shared" si="29"/>
        <v>9c</v>
      </c>
      <c r="F125" s="1" t="str">
        <f t="shared" si="29"/>
        <v>9d</v>
      </c>
      <c r="G125" s="1" t="str">
        <f t="shared" si="29"/>
        <v>9e</v>
      </c>
      <c r="H125" s="1" t="str">
        <f t="shared" si="29"/>
        <v>9f</v>
      </c>
    </row>
    <row r="126" spans="1:10" hidden="1" x14ac:dyDescent="0.25">
      <c r="A126" t="s">
        <v>96</v>
      </c>
      <c r="C126" s="1" t="str">
        <f t="array" ref="C126">IFERROR(INDEX($C$125:$H$125,MATCH(LARGE(IF(ISBLANK($C$125:$H$125),"",IF(ISNUMBER($C$125:$H$125),COUNTIF($C$125:$H$125,"&lt;"&amp;$C$125:$H$125),COUNTIF($C$125:$H$125,"&lt;"&amp;$C$125:$H$125)+SUM(IF(ISNUMBER($C$125:$H$125),1,0))+1)),COLUMN()-COLUMN($C$124)+1),IF(ISBLANK($C$125:$H$125),"",IF(ISNUMBER($C$125:$H$125),COUNTIF($C$125:$H$125,"&lt;"&amp;$C$125:$H$125),COUNTIF($C$125:$H$125,"&lt;"&amp;$C$125:$H$125)+SUM(IF(ISNUMBER($C$125:$H$125),1,0))+1)),0)),"")</f>
        <v>9f</v>
      </c>
      <c r="D126" s="1" t="str">
        <f t="array" ref="D126">IFERROR(INDEX($C$125:$H$125,MATCH(LARGE(IF(ISBLANK($C$125:$H$125),"",IF(ISNUMBER($C$125:$H$125),COUNTIF($C$125:$H$125,"&lt;"&amp;$C$125:$H$125),COUNTIF($C$125:$H$125,"&lt;"&amp;$C$125:$H$125)+SUM(IF(ISNUMBER($C$125:$H$125),1,0))+1)),COLUMN()-COLUMN($C$124)+1),IF(ISBLANK($C$125:$H$125),"",IF(ISNUMBER($C$125:$H$125),COUNTIF($C$125:$H$125,"&lt;"&amp;$C$125:$H$125),COUNTIF($C$125:$H$125,"&lt;"&amp;$C$125:$H$125)+SUM(IF(ISNUMBER($C$125:$H$125),1,0))+1)),0)),"")</f>
        <v>9e</v>
      </c>
      <c r="E126" s="1" t="str">
        <f t="array" ref="E126">IFERROR(INDEX($C$125:$H$125,MATCH(LARGE(IF(ISBLANK($C$125:$H$125),"",IF(ISNUMBER($C$125:$H$125),COUNTIF($C$125:$H$125,"&lt;"&amp;$C$125:$H$125),COUNTIF($C$125:$H$125,"&lt;"&amp;$C$125:$H$125)+SUM(IF(ISNUMBER($C$125:$H$125),1,0))+1)),COLUMN()-COLUMN($C$124)+1),IF(ISBLANK($C$125:$H$125),"",IF(ISNUMBER($C$125:$H$125),COUNTIF($C$125:$H$125,"&lt;"&amp;$C$125:$H$125),COUNTIF($C$125:$H$125,"&lt;"&amp;$C$125:$H$125)+SUM(IF(ISNUMBER($C$125:$H$125),1,0))+1)),0)),"")</f>
        <v>9d</v>
      </c>
      <c r="F126" s="1" t="str">
        <f t="array" ref="F126">IFERROR(INDEX($C$125:$H$125,MATCH(LARGE(IF(ISBLANK($C$125:$H$125),"",IF(ISNUMBER($C$125:$H$125),COUNTIF($C$125:$H$125,"&lt;"&amp;$C$125:$H$125),COUNTIF($C$125:$H$125,"&lt;"&amp;$C$125:$H$125)+SUM(IF(ISNUMBER($C$125:$H$125),1,0))+1)),COLUMN()-COLUMN($C$124)+1),IF(ISBLANK($C$125:$H$125),"",IF(ISNUMBER($C$125:$H$125),COUNTIF($C$125:$H$125,"&lt;"&amp;$C$125:$H$125),COUNTIF($C$125:$H$125,"&lt;"&amp;$C$125:$H$125)+SUM(IF(ISNUMBER($C$125:$H$125),1,0))+1)),0)),"")</f>
        <v>9c</v>
      </c>
      <c r="G126" s="1" t="str">
        <f t="array" ref="G126">IFERROR(INDEX($C$125:$H$125,MATCH(LARGE(IF(ISBLANK($C$125:$H$125),"",IF(ISNUMBER($C$125:$H$125),COUNTIF($C$125:$H$125,"&lt;"&amp;$C$125:$H$125),COUNTIF($C$125:$H$125,"&lt;"&amp;$C$125:$H$125)+SUM(IF(ISNUMBER($C$125:$H$125),1,0))+1)),COLUMN()-COLUMN($C$124)+1),IF(ISBLANK($C$125:$H$125),"",IF(ISNUMBER($C$125:$H$125),COUNTIF($C$125:$H$125,"&lt;"&amp;$C$125:$H$125),COUNTIF($C$125:$H$125,"&lt;"&amp;$C$125:$H$125)+SUM(IF(ISNUMBER($C$125:$H$125),1,0))+1)),0)),"")</f>
        <v>9b</v>
      </c>
      <c r="H126" s="1" t="str">
        <f t="array" ref="H126">IFERROR(INDEX($C$125:$H$125,MATCH(LARGE(IF(ISBLANK($C$125:$H$125),"",IF(ISNUMBER($C$125:$H$125),COUNTIF($C$125:$H$125,"&lt;"&amp;$C$125:$H$125),COUNTIF($C$125:$H$125,"&lt;"&amp;$C$125:$H$125)+SUM(IF(ISNUMBER($C$125:$H$125),1,0))+1)),COLUMN()-COLUMN($C$124)+1),IF(ISBLANK($C$125:$H$125),"",IF(ISNUMBER($C$125:$H$125),COUNTIF($C$125:$H$125,"&lt;"&amp;$C$125:$H$125),COUNTIF($C$125:$H$125,"&lt;"&amp;$C$125:$H$125)+SUM(IF(ISNUMBER($C$125:$H$125),1,0))+1)),0)),"")</f>
        <v>9a</v>
      </c>
      <c r="J126" s="67" t="s">
        <v>76</v>
      </c>
    </row>
    <row r="127" spans="1:10" hidden="1" x14ac:dyDescent="0.25">
      <c r="A127" t="s">
        <v>95</v>
      </c>
      <c r="C127" s="1" t="str">
        <f t="shared" ref="C127:H127" si="30">RIGHT(C126,1)</f>
        <v>f</v>
      </c>
      <c r="D127" s="1" t="str">
        <f t="shared" si="30"/>
        <v>e</v>
      </c>
      <c r="E127" s="1" t="str">
        <f t="shared" si="30"/>
        <v>d</v>
      </c>
      <c r="F127" s="1" t="str">
        <f t="shared" si="30"/>
        <v>c</v>
      </c>
      <c r="G127" s="1" t="str">
        <f t="shared" si="30"/>
        <v>b</v>
      </c>
      <c r="H127" s="1" t="str">
        <f t="shared" si="30"/>
        <v>a</v>
      </c>
      <c r="J127" s="11"/>
    </row>
    <row r="128" spans="1:10" hidden="1" x14ac:dyDescent="0.25">
      <c r="A128" t="s">
        <v>99</v>
      </c>
      <c r="C128" s="1" t="str">
        <f t="shared" ref="C128:H128" si="31">LEFT(C126,1)</f>
        <v>9</v>
      </c>
      <c r="D128" s="1" t="str">
        <f t="shared" si="31"/>
        <v>9</v>
      </c>
      <c r="E128" s="1" t="str">
        <f t="shared" si="31"/>
        <v>9</v>
      </c>
      <c r="F128" s="1" t="str">
        <f t="shared" si="31"/>
        <v>9</v>
      </c>
      <c r="G128" s="1" t="str">
        <f t="shared" si="31"/>
        <v>9</v>
      </c>
      <c r="H128" s="1" t="str">
        <f t="shared" si="31"/>
        <v>9</v>
      </c>
      <c r="J128" s="11"/>
    </row>
    <row r="129" spans="1:16" hidden="1" x14ac:dyDescent="0.25">
      <c r="A129" t="s">
        <v>77</v>
      </c>
      <c r="C129" s="1" t="str">
        <f>IFERROR(INDEX($A$139:$A$142,LEFT(C126,1)),"")</f>
        <v/>
      </c>
      <c r="D129" s="1" t="str">
        <f>IFERROR(INDEX($A$139:$A$142,D128),"")</f>
        <v/>
      </c>
      <c r="E129" s="1" t="str">
        <f>IFERROR(INDEX($A$139:$A$142,E128),"")</f>
        <v/>
      </c>
      <c r="F129" s="1" t="str">
        <f>IFERROR(INDEX($A$139:$A$142,F128),"")</f>
        <v/>
      </c>
      <c r="G129" s="1" t="str">
        <f>IFERROR(INDEX($A$139:$A$142,G128),"")</f>
        <v/>
      </c>
      <c r="H129" s="1" t="str">
        <f>IFERROR(INDEX($A$139:$A$142,H128),"")</f>
        <v/>
      </c>
      <c r="J129" s="11"/>
    </row>
    <row r="130" spans="1:16" hidden="1" x14ac:dyDescent="0.25">
      <c r="A130" s="42" t="s">
        <v>69</v>
      </c>
      <c r="B130" s="1">
        <f>$B$122+1</f>
        <v>1</v>
      </c>
      <c r="C130" s="1"/>
      <c r="D130" s="1">
        <f>IF($D$128="9",1,$D$128-1)</f>
        <v>1</v>
      </c>
      <c r="E130" s="1">
        <f>IF($E$128="9",1,$E$128-1)</f>
        <v>1</v>
      </c>
      <c r="F130" s="1">
        <f>IF($F$128="9",1,$F$128)</f>
        <v>1</v>
      </c>
      <c r="G130" s="1">
        <f>IF($G$128="9",1,$G$128)</f>
        <v>1</v>
      </c>
      <c r="H130" s="1">
        <f>IF($H$128="9",1,$H$128)</f>
        <v>1</v>
      </c>
      <c r="I130"/>
    </row>
    <row r="131" spans="1:16" hidden="1" x14ac:dyDescent="0.25">
      <c r="A131" s="42" t="s">
        <v>70</v>
      </c>
      <c r="B131" s="1">
        <f>$B$122+1</f>
        <v>1</v>
      </c>
      <c r="C131" s="1"/>
      <c r="D131" s="1">
        <f>IF($D$128="9",1,$D$128-1)</f>
        <v>1</v>
      </c>
      <c r="E131" s="1">
        <f>IF($E$128="9",1,$E$128-1)</f>
        <v>1</v>
      </c>
      <c r="F131" s="1">
        <f>IF($F$128="9",1,$F$128)</f>
        <v>1</v>
      </c>
      <c r="G131" s="1">
        <f>IF($G$128="9",1,$G$128)</f>
        <v>1</v>
      </c>
      <c r="H131" s="1">
        <f>IF($H$128="9",1,$H$128)</f>
        <v>1</v>
      </c>
      <c r="I131"/>
    </row>
    <row r="132" spans="1:16" ht="30" hidden="1" x14ac:dyDescent="0.25">
      <c r="A132" s="42" t="s">
        <v>100</v>
      </c>
      <c r="B132" s="1"/>
      <c r="C132" s="1"/>
      <c r="D132" s="1">
        <f>MATCH(D127,$C$31:$H$31,0)</f>
        <v>5</v>
      </c>
      <c r="E132" s="1">
        <f>MATCH(E127,$C$31:$H$31,0)</f>
        <v>4</v>
      </c>
      <c r="F132" s="1">
        <f>MATCH(F127,$C$31:$H$31,0)</f>
        <v>3</v>
      </c>
      <c r="G132" s="1">
        <f>MATCH(G127,$C$31:$H$31,0)</f>
        <v>2</v>
      </c>
      <c r="H132" s="1">
        <f>MATCH(H127,$C$31:$H$31,0)</f>
        <v>1</v>
      </c>
      <c r="I132"/>
    </row>
    <row r="133" spans="1:16" x14ac:dyDescent="0.25">
      <c r="A133" s="11"/>
      <c r="B133" s="1"/>
      <c r="C133" s="1"/>
      <c r="D133" s="1"/>
      <c r="E133" s="1"/>
      <c r="F133" s="1"/>
      <c r="G133" s="1"/>
      <c r="H133" s="1"/>
      <c r="I133"/>
    </row>
    <row r="134" spans="1:16" x14ac:dyDescent="0.25">
      <c r="A134" s="48" t="s">
        <v>80</v>
      </c>
      <c r="B134" s="47"/>
      <c r="C134" s="47"/>
      <c r="D134" s="47"/>
      <c r="E134" s="47"/>
      <c r="F134" s="47"/>
      <c r="G134" s="47"/>
      <c r="H134" s="47"/>
      <c r="I134" s="46"/>
      <c r="J134" s="47"/>
      <c r="K134" s="47"/>
      <c r="L134" s="47"/>
      <c r="M134" s="47"/>
      <c r="N134" s="47"/>
    </row>
    <row r="135" spans="1:16" x14ac:dyDescent="0.25">
      <c r="A135" s="2"/>
      <c r="B135" s="2"/>
      <c r="C135" s="81" t="str">
        <f>'Configuration Known'!C9:H9</f>
        <v>Secondary Circuit Configuration</v>
      </c>
      <c r="D135" s="81"/>
      <c r="E135" s="81"/>
      <c r="F135" s="81"/>
      <c r="G135" s="81"/>
      <c r="H135" s="81"/>
      <c r="I135" s="3"/>
      <c r="J135"/>
      <c r="K135"/>
      <c r="L135" s="17"/>
      <c r="M135"/>
      <c r="N135"/>
    </row>
    <row r="136" spans="1:16" ht="15.75" thickBot="1" x14ac:dyDescent="0.3">
      <c r="A136" s="10" t="str">
        <f>'Configuration Known'!A10</f>
        <v>Sku Part#</v>
      </c>
      <c r="B136" s="10" t="str">
        <f>'Configuration Known'!B10</f>
        <v>Descriptions</v>
      </c>
      <c r="C136" s="10"/>
      <c r="D136" s="10">
        <f>'Configuration Known'!D10</f>
        <v>5</v>
      </c>
      <c r="E136" s="10">
        <f>'Configuration Known'!E10</f>
        <v>4</v>
      </c>
      <c r="F136" s="10">
        <f>'Configuration Known'!F10</f>
        <v>3</v>
      </c>
      <c r="G136" s="10">
        <f>'Configuration Known'!G10</f>
        <v>2</v>
      </c>
      <c r="H136" s="10">
        <f>'Configuration Known'!H10</f>
        <v>1</v>
      </c>
      <c r="I136" s="3"/>
      <c r="J136" s="2" t="str">
        <f>'Configuration Known'!$J$10</f>
        <v>Value</v>
      </c>
      <c r="K136" s="2" t="str">
        <f>'Configuration Known'!$K$10</f>
        <v>SKU Descriptions</v>
      </c>
      <c r="L136" s="17" t="str">
        <f>'Configuration Known'!$L$10</f>
        <v>List Price</v>
      </c>
      <c r="M136" s="17" t="str">
        <f>'Configuration Known'!$M$10</f>
        <v>Qty</v>
      </c>
      <c r="N136" s="17" t="str">
        <f>'Configuration Known'!$N$10</f>
        <v>Ext. List</v>
      </c>
      <c r="O136" t="s">
        <v>111</v>
      </c>
    </row>
    <row r="137" spans="1:16" x14ac:dyDescent="0.25">
      <c r="A137" s="3"/>
      <c r="B137" s="3"/>
      <c r="C137" s="3"/>
      <c r="D137" s="3" t="str">
        <f>IF(D128="9","",INDEX($C$16:$H$16,D132))</f>
        <v/>
      </c>
      <c r="E137" s="3" t="str">
        <f>IF(E128="9","",INDEX($C$16:$H$16,E132))</f>
        <v/>
      </c>
      <c r="F137" s="3" t="str">
        <f>IF(F128="9","",INDEX($C$16:$H$16,F132))</f>
        <v/>
      </c>
      <c r="G137" s="3" t="str">
        <f>IF(G128="9","",INDEX($C$16:$H$16,G132))</f>
        <v/>
      </c>
      <c r="H137" s="3" t="str">
        <f>IF(H128="9","",INDEX($C$16:$H$16,H132))</f>
        <v/>
      </c>
      <c r="I137" s="3"/>
      <c r="J137" s="2"/>
      <c r="K137" s="2"/>
      <c r="L137" s="17"/>
      <c r="M137" s="17"/>
      <c r="N137" s="17"/>
    </row>
    <row r="138" spans="1:16" x14ac:dyDescent="0.25">
      <c r="A138" s="1" t="str">
        <f>'Configuration Known'!A11</f>
        <v>n/a</v>
      </c>
      <c r="B138" t="str">
        <f>'Configuration Known'!B11</f>
        <v>None</v>
      </c>
      <c r="C138" s="1"/>
      <c r="D138" s="1"/>
      <c r="E138" s="1"/>
      <c r="F138" s="1"/>
      <c r="G138" s="1"/>
      <c r="H138" s="13" t="s">
        <v>24</v>
      </c>
      <c r="I138"/>
      <c r="J138"/>
      <c r="K138" s="2"/>
      <c r="L138" s="2"/>
      <c r="M138" s="6"/>
      <c r="N138" s="6"/>
      <c r="O138" s="5"/>
      <c r="P138" s="5"/>
    </row>
    <row r="139" spans="1:16" x14ac:dyDescent="0.25">
      <c r="A139" s="39" t="str">
        <f>'Configuration Known'!A12</f>
        <v>D</v>
      </c>
      <c r="B139" s="40" t="str">
        <f>'Configuration Known'!B12</f>
        <v>DHW</v>
      </c>
      <c r="C139" s="41"/>
      <c r="D139" s="41" t="s">
        <v>24</v>
      </c>
      <c r="E139" s="41" t="s">
        <v>24</v>
      </c>
      <c r="F139" s="41" t="s">
        <v>24</v>
      </c>
      <c r="G139" s="41" t="s">
        <v>24</v>
      </c>
      <c r="H139" s="39"/>
      <c r="I139"/>
      <c r="J139" s="1">
        <f>'Configuration Known'!$J$12</f>
        <v>1</v>
      </c>
      <c r="K139" t="str">
        <f>'Configuration Known'!$K$12</f>
        <v>DHW</v>
      </c>
      <c r="L139" s="7">
        <f>IF($B$10="Canada",'Configuration Known'!$Q12,IF($B$10="USA",'Configuration Known'!$R12,0))</f>
        <v>1052</v>
      </c>
      <c r="M139" s="5">
        <f>COUNTIF($C$124:$H$124,$J139)</f>
        <v>0</v>
      </c>
      <c r="N139" s="7">
        <f>L139*M139</f>
        <v>0</v>
      </c>
      <c r="O139" s="70" t="str">
        <f>IF($M139&gt;0,$K139,"")</f>
        <v/>
      </c>
      <c r="P139" s="5"/>
    </row>
    <row r="140" spans="1:16" x14ac:dyDescent="0.25">
      <c r="A140" s="1" t="str">
        <f>'Configuration Known'!A13</f>
        <v>H</v>
      </c>
      <c r="B140" t="str">
        <f>'Configuration Known'!B13</f>
        <v>Hi Temp</v>
      </c>
      <c r="C140" s="13"/>
      <c r="D140" s="13" t="s">
        <v>24</v>
      </c>
      <c r="E140" s="13" t="s">
        <v>24</v>
      </c>
      <c r="F140" s="1"/>
      <c r="G140" s="1"/>
      <c r="H140" s="1"/>
      <c r="I140"/>
      <c r="J140" s="1">
        <v>2</v>
      </c>
      <c r="K140" t="str">
        <f>'Configuration Known'!$K$13</f>
        <v>HI</v>
      </c>
      <c r="L140" s="7">
        <f>IF($B$10="Canada",'Configuration Known'!$Q13,IF($B$10="USA",'Configuration Known'!$R13,0))</f>
        <v>1052</v>
      </c>
      <c r="M140" s="5">
        <f>COUNTIF($C$124:$H$124,$J140)</f>
        <v>0</v>
      </c>
      <c r="N140" s="7">
        <f>L140*M140</f>
        <v>0</v>
      </c>
      <c r="O140" s="70" t="str">
        <f>IF($M140&gt;0,CONCATENATE($K140,"-",$M140),"")</f>
        <v/>
      </c>
      <c r="P140" s="5"/>
    </row>
    <row r="141" spans="1:16" x14ac:dyDescent="0.25">
      <c r="A141" s="39" t="str">
        <f>'Configuration Known'!A14</f>
        <v>L</v>
      </c>
      <c r="B141" s="40" t="str">
        <f>'Configuration Known'!B14</f>
        <v>Low Temp (Lrg. TMV)</v>
      </c>
      <c r="C141" s="39"/>
      <c r="D141" s="39"/>
      <c r="E141" s="39"/>
      <c r="F141" s="39"/>
      <c r="G141" s="39"/>
      <c r="H141" s="39"/>
      <c r="I141"/>
      <c r="J141" s="1">
        <v>3</v>
      </c>
      <c r="K141" t="str">
        <f>'Configuration Known'!$K$14</f>
        <v>TMVLG</v>
      </c>
      <c r="L141" s="7">
        <f>IF($B$10="Canada",'Configuration Known'!$Q14,IF($B$10="USA",'Configuration Known'!$R14,0))</f>
        <v>1682</v>
      </c>
      <c r="M141" s="5">
        <f>COUNTIF($C$124:$H$124,$J141)</f>
        <v>0</v>
      </c>
      <c r="N141" s="7">
        <f>L141*M141</f>
        <v>0</v>
      </c>
      <c r="O141" s="70" t="str">
        <f>IF($M141&gt;0,CONCATENATE($K141,"-",$M141),"")</f>
        <v/>
      </c>
      <c r="P141" s="5"/>
    </row>
    <row r="142" spans="1:16" ht="15.75" thickBot="1" x14ac:dyDescent="0.3">
      <c r="A142" s="74" t="str">
        <f>'Configuration Known'!A15</f>
        <v>S</v>
      </c>
      <c r="B142" s="75" t="str">
        <f>'Configuration Known'!B15</f>
        <v>Low Temp (Sm. TMV)</v>
      </c>
      <c r="C142" s="74"/>
      <c r="D142" s="74"/>
      <c r="E142" s="74"/>
      <c r="F142" s="74"/>
      <c r="G142" s="74"/>
      <c r="H142" s="74"/>
      <c r="I142"/>
      <c r="J142" s="1">
        <v>4</v>
      </c>
      <c r="K142" t="str">
        <f>'Configuration Known'!$K$15</f>
        <v>TMVSM</v>
      </c>
      <c r="L142" s="7">
        <f>IF($B$10="Canada",'Configuration Known'!$Q15,IF($B$10="USA",'Configuration Known'!$R15,0))</f>
        <v>1531</v>
      </c>
      <c r="M142" s="5">
        <f>COUNTIF($C$124:$H$124,$J142)</f>
        <v>0</v>
      </c>
      <c r="N142" s="7">
        <f>L142*M142</f>
        <v>0</v>
      </c>
      <c r="O142" s="70" t="str">
        <f>IF($M142&gt;0,CONCATENATE($K142,"-",$M142),"")</f>
        <v/>
      </c>
      <c r="P142" s="5"/>
    </row>
    <row r="143" spans="1:16" x14ac:dyDescent="0.25">
      <c r="A143" s="76" t="str">
        <f>'Configuration Known'!A16</f>
        <v>P</v>
      </c>
      <c r="B143" s="77" t="str">
        <f>'Configuration Known'!B16</f>
        <v>Primary Pump</v>
      </c>
      <c r="C143" s="78" t="str">
        <f>'Configuration Known'!C16</f>
        <v>Select</v>
      </c>
      <c r="I143"/>
      <c r="K143"/>
      <c r="L143" s="7"/>
      <c r="M143" s="5"/>
      <c r="N143" s="7"/>
      <c r="O143" s="70" t="str">
        <f>_xlfn.TEXTJOIN(" ",TRUE,O139:O142)</f>
        <v/>
      </c>
      <c r="P143" s="5"/>
    </row>
    <row r="144" spans="1:16" x14ac:dyDescent="0.25">
      <c r="A144" s="1">
        <f>'Configuration Known'!A17</f>
        <v>0</v>
      </c>
      <c r="B144" t="str">
        <f>'Configuration Known'!B17</f>
        <v>None</v>
      </c>
      <c r="E144" s="38"/>
      <c r="F144" s="38"/>
      <c r="G144" s="38"/>
      <c r="H144" s="38"/>
      <c r="I144"/>
      <c r="J144" s="1">
        <f>'Configuration Known'!$J$17</f>
        <v>1</v>
      </c>
      <c r="K144" t="str">
        <f>'Configuration Known'!$K$17</f>
        <v>NONE</v>
      </c>
      <c r="L144" s="7">
        <f>IF($B$10="Canada",'Configuration Known'!$Q17,IF($B$10="USA",'Configuration Known'!$R17,0))</f>
        <v>2167</v>
      </c>
      <c r="M144" s="5">
        <f>COUNTIF($B$130,$J144)</f>
        <v>1</v>
      </c>
      <c r="N144" s="7">
        <f>L144*M144</f>
        <v>2167</v>
      </c>
      <c r="O144" s="70" t="str">
        <f>IF($M144&gt;0,$K144,"")</f>
        <v>NONE</v>
      </c>
      <c r="P144" s="5"/>
    </row>
    <row r="145" spans="1:16" x14ac:dyDescent="0.25">
      <c r="A145" s="39">
        <f>'Configuration Known'!A18</f>
        <v>1</v>
      </c>
      <c r="B145" s="40" t="str">
        <f>'Configuration Known'!B18</f>
        <v>UPS15-58</v>
      </c>
      <c r="C145" s="40"/>
      <c r="E145" s="38"/>
      <c r="F145" s="38"/>
      <c r="G145" s="38"/>
      <c r="H145" s="38"/>
      <c r="I145"/>
      <c r="J145" s="1">
        <f>'Configuration Known'!$J$18</f>
        <v>2</v>
      </c>
      <c r="K145">
        <f>'Configuration Known'!$K$18</f>
        <v>1558</v>
      </c>
      <c r="L145" s="7">
        <f>IF($B$10="Canada",'Configuration Known'!$Q18,IF($B$10="USA",'Configuration Known'!$R18,0))</f>
        <v>2600</v>
      </c>
      <c r="M145" s="5">
        <f>COUNTIF($B$130,$J145)</f>
        <v>0</v>
      </c>
      <c r="N145" s="7">
        <f>L145*M145</f>
        <v>0</v>
      </c>
      <c r="O145" s="70" t="str">
        <f>IF($M145&gt;0,$K145,"")</f>
        <v/>
      </c>
      <c r="P145" s="5"/>
    </row>
    <row r="146" spans="1:16" x14ac:dyDescent="0.25">
      <c r="A146" s="1">
        <f>'Configuration Known'!A19</f>
        <v>2</v>
      </c>
      <c r="B146" t="str">
        <f>'Configuration Known'!B19</f>
        <v>UPS26-99</v>
      </c>
      <c r="E146" s="38"/>
      <c r="F146" s="38"/>
      <c r="G146" s="38"/>
      <c r="H146" s="38"/>
      <c r="I146"/>
      <c r="J146" s="1">
        <f>'Configuration Known'!$J$19</f>
        <v>3</v>
      </c>
      <c r="K146">
        <f>'Configuration Known'!$K$19</f>
        <v>2699</v>
      </c>
      <c r="L146" s="7">
        <f>IF($B$10="Canada",'Configuration Known'!$Q19,IF($B$10="USA",'Configuration Known'!$R19,0))</f>
        <v>3765</v>
      </c>
      <c r="M146" s="5">
        <f>COUNTIF($B$130,$J146)</f>
        <v>0</v>
      </c>
      <c r="N146" s="7">
        <f>L146*M146</f>
        <v>0</v>
      </c>
      <c r="O146" s="70" t="str">
        <f>IF($M146&gt;0,$K146,"")</f>
        <v/>
      </c>
      <c r="P146" s="5"/>
    </row>
    <row r="147" spans="1:16" x14ac:dyDescent="0.25">
      <c r="A147" s="39">
        <f>'Configuration Known'!A20</f>
        <v>3</v>
      </c>
      <c r="B147" s="40" t="str">
        <f>'Configuration Known'!B20</f>
        <v>UPS26-150</v>
      </c>
      <c r="C147" s="40"/>
      <c r="E147" s="38"/>
      <c r="F147" s="38"/>
      <c r="G147" s="38"/>
      <c r="H147" s="38"/>
      <c r="I147"/>
      <c r="J147" s="1">
        <f>'Configuration Known'!$J$20</f>
        <v>4</v>
      </c>
      <c r="K147">
        <f>'Configuration Known'!$K$20</f>
        <v>26150</v>
      </c>
      <c r="L147" s="7">
        <f>IF($B$10="Canada",'Configuration Known'!$Q20,IF($B$10="USA",'Configuration Known'!$R20,0))</f>
        <v>5936</v>
      </c>
      <c r="M147" s="5">
        <f>COUNTIF($B$130,$J147)</f>
        <v>0</v>
      </c>
      <c r="N147" s="7">
        <f>L147*M147</f>
        <v>0</v>
      </c>
      <c r="O147" s="70" t="str">
        <f>IF($M147&gt;0,$K147,"")</f>
        <v/>
      </c>
      <c r="P147" s="5"/>
    </row>
    <row r="148" spans="1:16" hidden="1" x14ac:dyDescent="0.25">
      <c r="E148" s="38"/>
      <c r="F148" s="38"/>
      <c r="G148" s="38"/>
      <c r="H148" s="38"/>
      <c r="I148"/>
      <c r="K148"/>
      <c r="L148" s="7"/>
      <c r="M148" s="5"/>
      <c r="N148" s="7"/>
      <c r="O148" s="70" t="str">
        <f>CONCATENATE("P-",O144,O145,O146,O147, " ")</f>
        <v xml:space="preserve">P-NONE </v>
      </c>
      <c r="P148" s="5"/>
    </row>
    <row r="149" spans="1:16" hidden="1" x14ac:dyDescent="0.25">
      <c r="E149" s="38"/>
      <c r="F149" s="38"/>
      <c r="G149" s="38"/>
      <c r="H149" s="38"/>
      <c r="I149"/>
      <c r="J149" s="1" t="str">
        <f>'Configuration Known'!$J$22</f>
        <v>W1</v>
      </c>
      <c r="K149" t="str">
        <f>'Configuration Known'!$K$22</f>
        <v>WRD</v>
      </c>
      <c r="L149" s="7">
        <f>IF($B$10="Canada",'Configuration Known'!$Q22,IF($B$10="USA",'Configuration Known'!$R22,0))</f>
        <v>0</v>
      </c>
      <c r="M149" s="5">
        <f>IF($B$12='Configuration Known'!Q5,1,0)</f>
        <v>1</v>
      </c>
      <c r="N149" s="7">
        <f>L149*M149</f>
        <v>0</v>
      </c>
      <c r="O149" s="70" t="str">
        <f>IF(OR($M149&gt;0,SUM(M149:M150)&lt;1),$K149,"")</f>
        <v>WRD</v>
      </c>
      <c r="P149" s="5"/>
    </row>
    <row r="150" spans="1:16" hidden="1" x14ac:dyDescent="0.25">
      <c r="E150" s="38"/>
      <c r="F150" s="38"/>
      <c r="G150" s="38"/>
      <c r="H150" s="38"/>
      <c r="I150"/>
      <c r="J150" s="1" t="str">
        <f>'Configuration Known'!$J$23</f>
        <v>W2</v>
      </c>
      <c r="K150" t="str">
        <f>'Configuration Known'!$K$23</f>
        <v>WRL</v>
      </c>
      <c r="L150" s="7">
        <f>IF($B$10="Canada",'Configuration Known'!$Q23,IF($B$10="USA",'Configuration Known'!$R23,0))</f>
        <v>410</v>
      </c>
      <c r="M150" s="5">
        <f>IF($B$12='Configuration Known'!Q6,1,0)</f>
        <v>0</v>
      </c>
      <c r="N150" s="7">
        <f>L150*M150</f>
        <v>0</v>
      </c>
      <c r="O150" s="70" t="str">
        <f>IF($M150&gt;0,$K150,"")</f>
        <v/>
      </c>
      <c r="P150" s="5"/>
    </row>
    <row r="151" spans="1:16" hidden="1" x14ac:dyDescent="0.25">
      <c r="E151" s="38"/>
      <c r="F151" s="38"/>
      <c r="G151" s="38"/>
      <c r="H151" s="38"/>
      <c r="I151"/>
      <c r="J151" s="1" t="str">
        <f>IFERROR(INDEX(J149:J150,MATCH(1,M149:M150,0),1),J149)</f>
        <v>W1</v>
      </c>
      <c r="K151"/>
      <c r="L151" s="7"/>
      <c r="M151" s="5"/>
      <c r="N151" s="7"/>
      <c r="O151" s="70" t="str">
        <f>CONCATENATE(O149,O150, " ")</f>
        <v xml:space="preserve">WRD </v>
      </c>
      <c r="P151" s="5"/>
    </row>
    <row r="152" spans="1:16" hidden="1" x14ac:dyDescent="0.25">
      <c r="I152"/>
      <c r="J152"/>
      <c r="K152"/>
      <c r="L152"/>
      <c r="M152" s="5" t="s">
        <v>20</v>
      </c>
      <c r="N152" s="19">
        <f>SUM(N139:N150)</f>
        <v>2167</v>
      </c>
      <c r="P152" s="5"/>
    </row>
    <row r="153" spans="1:16" x14ac:dyDescent="0.25">
      <c r="I153"/>
      <c r="J153"/>
      <c r="K153"/>
      <c r="L153"/>
      <c r="M153"/>
      <c r="N153"/>
    </row>
    <row r="154" spans="1:16" x14ac:dyDescent="0.25">
      <c r="A154" s="2" t="s">
        <v>1</v>
      </c>
      <c r="B154" s="49" t="str">
        <f>IF(E90&lt;&gt;"","",CONCATENATE("TMP-M",J151,A143,B122,H129,G129,F129,E129,D129,C129))</f>
        <v/>
      </c>
      <c r="I154"/>
      <c r="J154"/>
      <c r="K154"/>
      <c r="L154"/>
      <c r="M154"/>
      <c r="N154"/>
      <c r="O154" t="s">
        <v>112</v>
      </c>
    </row>
    <row r="155" spans="1:16" x14ac:dyDescent="0.25">
      <c r="A155" s="2" t="s">
        <v>18</v>
      </c>
      <c r="B155" s="83" t="str">
        <f>IF(E90&lt;&gt;"","Please correct the error(s) above.",CONCATENATE("TMP-MULTI ",O151,O148,O143))</f>
        <v>Please correct the error(s) above.</v>
      </c>
      <c r="C155" s="84"/>
      <c r="D155" s="84"/>
      <c r="E155" s="84"/>
      <c r="F155" s="84"/>
      <c r="G155" s="84"/>
      <c r="H155" s="84"/>
      <c r="I155"/>
      <c r="J155"/>
      <c r="K155"/>
      <c r="L155"/>
      <c r="M155"/>
      <c r="N155"/>
      <c r="O155">
        <f>LEN(B155)</f>
        <v>34</v>
      </c>
      <c r="P155" t="str">
        <f>IF(O155&gt;72,"Description longer than 72 characters","OK")</f>
        <v>OK</v>
      </c>
    </row>
    <row r="156" spans="1:16" x14ac:dyDescent="0.25">
      <c r="A156" s="2" t="s">
        <v>11</v>
      </c>
      <c r="B156" s="50" t="str">
        <f>IF(E90&lt;&gt;"","",N152)</f>
        <v/>
      </c>
      <c r="C156" t="str">
        <f>IF($B$10="Canada","CAD",IF($B$10="USA","USD","Select Country First"))</f>
        <v>CAD</v>
      </c>
      <c r="I156"/>
      <c r="J156"/>
      <c r="K156"/>
      <c r="L156"/>
      <c r="M156"/>
      <c r="N156"/>
    </row>
    <row r="157" spans="1:16" x14ac:dyDescent="0.25">
      <c r="A157" s="2" t="s">
        <v>16</v>
      </c>
      <c r="B157" s="14"/>
      <c r="I157"/>
      <c r="J157"/>
      <c r="K157"/>
      <c r="L157"/>
      <c r="M157"/>
      <c r="N157"/>
    </row>
    <row r="158" spans="1:16" x14ac:dyDescent="0.25">
      <c r="A158" s="2" t="s">
        <v>17</v>
      </c>
      <c r="B158" s="50" t="str">
        <f>IFERROR(IF(ISBLANK(B157),"",B156*B157),"")</f>
        <v/>
      </c>
      <c r="C158" t="str">
        <f>C156</f>
        <v>CAD</v>
      </c>
      <c r="I158"/>
      <c r="J158"/>
      <c r="K158"/>
      <c r="L158"/>
      <c r="M158"/>
      <c r="N158"/>
    </row>
  </sheetData>
  <sheetProtection algorithmName="SHA-512" hashValue="jD53QjA1IxzPYvrQEkw83HqVkK6/FEizjKvtLU8X1kNc9149D9pcGDP9gFvfeI9mVq2OT5Ys/WHSnxt7LigHRQ==" saltValue="joljMbk7EzaGrvPdTib8Cg==" spinCount="100000" sheet="1" objects="1" scenarios="1"/>
  <customSheetViews>
    <customSheetView guid="{3D818CDD-1138-4CEC-9E38-71A86998A628}" showGridLines="0" fitToPage="1" printArea="1" hiddenRows="1" hiddenColumns="1">
      <selection activeCell="A149" sqref="A149:XFD153"/>
      <pageMargins left="0.7" right="0.7" top="0.75" bottom="0.75" header="0.3" footer="0.3"/>
      <pageSetup scale="25" orientation="portrait" r:id="rId1"/>
    </customSheetView>
    <customSheetView guid="{34F90286-F076-42FE-8B9A-459ED7A2CFE9}" showGridLines="0" fitToPage="1" printArea="1">
      <selection activeCell="M55" sqref="M55"/>
      <pageMargins left="0.7" right="0.7" top="0.75" bottom="0.75" header="0.3" footer="0.3"/>
      <pageSetup scale="25" orientation="portrait" r:id="rId2"/>
    </customSheetView>
    <customSheetView guid="{AD529854-F0E6-4643-B652-60121491677F}" showGridLines="0" fitToPage="1" printArea="1" hiddenRows="1" hiddenColumns="1">
      <selection activeCell="A149" sqref="A149:XFD153"/>
      <pageMargins left="0.7" right="0.7" top="0.75" bottom="0.75" header="0.3" footer="0.3"/>
      <pageSetup scale="25" orientation="portrait" r:id="rId3"/>
    </customSheetView>
    <customSheetView guid="{5936C0E4-460B-44CE-85BC-8E2DB9BD1C86}" showGridLines="0" fitToPage="1" printArea="1" hiddenRows="1" hiddenColumns="1">
      <selection activeCell="A149" sqref="A149:XFD153"/>
      <pageMargins left="0.7" right="0.7" top="0.75" bottom="0.75" header="0.3" footer="0.3"/>
      <pageSetup scale="25" orientation="portrait" r:id="rId4"/>
    </customSheetView>
  </customSheetViews>
  <mergeCells count="4">
    <mergeCell ref="E90:H93"/>
    <mergeCell ref="C135:H135"/>
    <mergeCell ref="C15:H15"/>
    <mergeCell ref="B155:H155"/>
  </mergeCells>
  <conditionalFormatting sqref="C90">
    <cfRule type="cellIs" dxfId="4" priority="10" operator="greaterThan">
      <formula>30</formula>
    </cfRule>
  </conditionalFormatting>
  <conditionalFormatting sqref="C24:H24">
    <cfRule type="expression" dxfId="3" priority="3">
      <formula>C$33="S"</formula>
    </cfRule>
  </conditionalFormatting>
  <conditionalFormatting sqref="C27:H27">
    <cfRule type="expression" dxfId="2" priority="6">
      <formula>C$33="S"</formula>
    </cfRule>
  </conditionalFormatting>
  <conditionalFormatting sqref="C26:H26">
    <cfRule type="expression" dxfId="1" priority="4">
      <formula>C$33 ="L"</formula>
    </cfRule>
  </conditionalFormatting>
  <conditionalFormatting sqref="C23:H23">
    <cfRule type="expression" dxfId="0" priority="2">
      <formula>C$33="L"</formula>
    </cfRule>
  </conditionalFormatting>
  <dataValidations count="7">
    <dataValidation type="list" allowBlank="1" showInputMessage="1" showErrorMessage="1" sqref="C89" xr:uid="{00000000-0002-0000-0000-000000000000}">
      <formula1>$B$106:$B$107</formula1>
    </dataValidation>
    <dataValidation type="decimal" allowBlank="1" showInputMessage="1" showErrorMessage="1" sqref="B157" xr:uid="{00000000-0002-0000-0000-000001000000}">
      <formula1>0</formula1>
      <formula2>1</formula2>
    </dataValidation>
    <dataValidation type="list" allowBlank="1" showInputMessage="1" showErrorMessage="1" sqref="G17" xr:uid="{00000000-0002-0000-0000-000003000000}">
      <formula1>IF(F75=1,IF(F76=2,$B$77:$B$78,$B$76:$B$78),$B$75:$B$78)</formula1>
    </dataValidation>
    <dataValidation type="list" allowBlank="1" showInputMessage="1" showErrorMessage="1" sqref="F17" xr:uid="{00000000-0002-0000-0000-000004000000}">
      <formula1>IF(F75=1,IF(F76=2,$B$77:$B$78,$B$76:$B$78),$B$75:$B$78)</formula1>
    </dataValidation>
    <dataValidation type="list" allowBlank="1" showInputMessage="1" showErrorMessage="1" sqref="C17" xr:uid="{00000000-0002-0000-0000-000005000000}">
      <formula1>IF(F75=1,IF(F76=2,$B$77:$B$78,$B$76:$B$78),$B$75:$B$78)</formula1>
    </dataValidation>
    <dataValidation type="list" allowBlank="1" showInputMessage="1" showErrorMessage="1" sqref="D17" xr:uid="{00000000-0002-0000-0000-000006000000}">
      <formula1>IF(F75=1,IF(F76=2,$B$77:$B$78,$B$76:$B$78),$B$75:$B$78)</formula1>
    </dataValidation>
    <dataValidation type="list" allowBlank="1" showInputMessage="1" showErrorMessage="1" sqref="E17" xr:uid="{00000000-0002-0000-0000-000007000000}">
      <formula1>IF(F75=1,IF(F76=2,$B$77:$B$78,$B$76:$B$78),$B$75:$B$78)</formula1>
    </dataValidation>
  </dataValidations>
  <hyperlinks>
    <hyperlink ref="J126" r:id="rId5" xr:uid="{07565DC4-686F-4F46-AD7E-034A081A0736}"/>
  </hyperlinks>
  <pageMargins left="0.7" right="0.7" top="0.75" bottom="0.75" header="0.3" footer="0.3"/>
  <pageSetup scale="25"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2086" r:id="rId9" name="Option Button 38">
              <controlPr defaultSize="0" autoFill="0" autoLine="0" autoPict="0">
                <anchor moveWithCells="1">
                  <from>
                    <xdr:col>2</xdr:col>
                    <xdr:colOff>238125</xdr:colOff>
                    <xdr:row>143</xdr:row>
                    <xdr:rowOff>19050</xdr:rowOff>
                  </from>
                  <to>
                    <xdr:col>2</xdr:col>
                    <xdr:colOff>476250</xdr:colOff>
                    <xdr:row>144</xdr:row>
                    <xdr:rowOff>9525</xdr:rowOff>
                  </to>
                </anchor>
              </controlPr>
            </control>
          </mc:Choice>
        </mc:AlternateContent>
        <mc:AlternateContent xmlns:mc="http://schemas.openxmlformats.org/markup-compatibility/2006">
          <mc:Choice Requires="x14">
            <control shapeId="2087" r:id="rId10" name="Option Button 39">
              <controlPr defaultSize="0" autoFill="0" autoLine="0" autoPict="0">
                <anchor moveWithCells="1">
                  <from>
                    <xdr:col>2</xdr:col>
                    <xdr:colOff>238125</xdr:colOff>
                    <xdr:row>144</xdr:row>
                    <xdr:rowOff>9525</xdr:rowOff>
                  </from>
                  <to>
                    <xdr:col>2</xdr:col>
                    <xdr:colOff>476250</xdr:colOff>
                    <xdr:row>145</xdr:row>
                    <xdr:rowOff>0</xdr:rowOff>
                  </to>
                </anchor>
              </controlPr>
            </control>
          </mc:Choice>
        </mc:AlternateContent>
        <mc:AlternateContent xmlns:mc="http://schemas.openxmlformats.org/markup-compatibility/2006">
          <mc:Choice Requires="x14">
            <control shapeId="2088" r:id="rId11" name="Option Button 40">
              <controlPr defaultSize="0" autoFill="0" autoLine="0" autoPict="0">
                <anchor moveWithCells="1">
                  <from>
                    <xdr:col>2</xdr:col>
                    <xdr:colOff>238125</xdr:colOff>
                    <xdr:row>145</xdr:row>
                    <xdr:rowOff>9525</xdr:rowOff>
                  </from>
                  <to>
                    <xdr:col>2</xdr:col>
                    <xdr:colOff>476250</xdr:colOff>
                    <xdr:row>146</xdr:row>
                    <xdr:rowOff>0</xdr:rowOff>
                  </to>
                </anchor>
              </controlPr>
            </control>
          </mc:Choice>
        </mc:AlternateContent>
        <mc:AlternateContent xmlns:mc="http://schemas.openxmlformats.org/markup-compatibility/2006">
          <mc:Choice Requires="x14">
            <control shapeId="2089" r:id="rId12" name="Option Button 41">
              <controlPr defaultSize="0" autoFill="0" autoLine="0" autoPict="0">
                <anchor moveWithCells="1">
                  <from>
                    <xdr:col>2</xdr:col>
                    <xdr:colOff>238125</xdr:colOff>
                    <xdr:row>146</xdr:row>
                    <xdr:rowOff>9525</xdr:rowOff>
                  </from>
                  <to>
                    <xdr:col>2</xdr:col>
                    <xdr:colOff>476250</xdr:colOff>
                    <xdr:row>147</xdr:row>
                    <xdr:rowOff>0</xdr:rowOff>
                  </to>
                </anchor>
              </controlPr>
            </control>
          </mc:Choice>
        </mc:AlternateContent>
        <mc:AlternateContent xmlns:mc="http://schemas.openxmlformats.org/markup-compatibility/2006">
          <mc:Choice Requires="x14">
            <control shapeId="2093" r:id="rId13" name="Group Box 45">
              <controlPr defaultSize="0" autoFill="0" autoPict="0" altText="">
                <anchor moveWithCells="1">
                  <from>
                    <xdr:col>1</xdr:col>
                    <xdr:colOff>1381125</xdr:colOff>
                    <xdr:row>143</xdr:row>
                    <xdr:rowOff>0</xdr:rowOff>
                  </from>
                  <to>
                    <xdr:col>3</xdr:col>
                    <xdr:colOff>0</xdr:colOff>
                    <xdr:row>147</xdr:row>
                    <xdr:rowOff>0</xdr:rowOff>
                  </to>
                </anchor>
              </controlPr>
            </control>
          </mc:Choice>
        </mc:AlternateContent>
        <mc:AlternateContent xmlns:mc="http://schemas.openxmlformats.org/markup-compatibility/2006">
          <mc:Choice Requires="x14">
            <control shapeId="2095" r:id="rId14" name="Option Button 47">
              <controlPr defaultSize="0" autoFill="0" autoLine="0" autoPict="0">
                <anchor moveWithCells="1">
                  <from>
                    <xdr:col>3</xdr:col>
                    <xdr:colOff>238125</xdr:colOff>
                    <xdr:row>137</xdr:row>
                    <xdr:rowOff>9525</xdr:rowOff>
                  </from>
                  <to>
                    <xdr:col>3</xdr:col>
                    <xdr:colOff>476250</xdr:colOff>
                    <xdr:row>138</xdr:row>
                    <xdr:rowOff>9525</xdr:rowOff>
                  </to>
                </anchor>
              </controlPr>
            </control>
          </mc:Choice>
        </mc:AlternateContent>
        <mc:AlternateContent xmlns:mc="http://schemas.openxmlformats.org/markup-compatibility/2006">
          <mc:Choice Requires="x14">
            <control shapeId="2096" r:id="rId15" name="Option Button 48">
              <controlPr defaultSize="0" autoFill="0" autoLine="0" autoPict="0">
                <anchor moveWithCells="1">
                  <from>
                    <xdr:col>3</xdr:col>
                    <xdr:colOff>238125</xdr:colOff>
                    <xdr:row>140</xdr:row>
                    <xdr:rowOff>0</xdr:rowOff>
                  </from>
                  <to>
                    <xdr:col>3</xdr:col>
                    <xdr:colOff>476250</xdr:colOff>
                    <xdr:row>140</xdr:row>
                    <xdr:rowOff>180975</xdr:rowOff>
                  </to>
                </anchor>
              </controlPr>
            </control>
          </mc:Choice>
        </mc:AlternateContent>
        <mc:AlternateContent xmlns:mc="http://schemas.openxmlformats.org/markup-compatibility/2006">
          <mc:Choice Requires="x14">
            <control shapeId="2098" r:id="rId16" name="Group Box 50">
              <controlPr defaultSize="0" autoFill="0" autoPict="0">
                <anchor moveWithCells="1">
                  <from>
                    <xdr:col>3</xdr:col>
                    <xdr:colOff>0</xdr:colOff>
                    <xdr:row>137</xdr:row>
                    <xdr:rowOff>0</xdr:rowOff>
                  </from>
                  <to>
                    <xdr:col>4</xdr:col>
                    <xdr:colOff>0</xdr:colOff>
                    <xdr:row>142</xdr:row>
                    <xdr:rowOff>0</xdr:rowOff>
                  </to>
                </anchor>
              </controlPr>
            </control>
          </mc:Choice>
        </mc:AlternateContent>
        <mc:AlternateContent xmlns:mc="http://schemas.openxmlformats.org/markup-compatibility/2006">
          <mc:Choice Requires="x14">
            <control shapeId="2099" r:id="rId17" name="Option Button 51">
              <controlPr defaultSize="0" autoFill="0" autoLine="0" autoPict="0">
                <anchor moveWithCells="1">
                  <from>
                    <xdr:col>4</xdr:col>
                    <xdr:colOff>238125</xdr:colOff>
                    <xdr:row>137</xdr:row>
                    <xdr:rowOff>9525</xdr:rowOff>
                  </from>
                  <to>
                    <xdr:col>4</xdr:col>
                    <xdr:colOff>476250</xdr:colOff>
                    <xdr:row>138</xdr:row>
                    <xdr:rowOff>9525</xdr:rowOff>
                  </to>
                </anchor>
              </controlPr>
            </control>
          </mc:Choice>
        </mc:AlternateContent>
        <mc:AlternateContent xmlns:mc="http://schemas.openxmlformats.org/markup-compatibility/2006">
          <mc:Choice Requires="x14">
            <control shapeId="2100" r:id="rId18" name="Option Button 52">
              <controlPr defaultSize="0" autoFill="0" autoLine="0" autoPict="0">
                <anchor moveWithCells="1">
                  <from>
                    <xdr:col>4</xdr:col>
                    <xdr:colOff>238125</xdr:colOff>
                    <xdr:row>140</xdr:row>
                    <xdr:rowOff>0</xdr:rowOff>
                  </from>
                  <to>
                    <xdr:col>4</xdr:col>
                    <xdr:colOff>476250</xdr:colOff>
                    <xdr:row>140</xdr:row>
                    <xdr:rowOff>180975</xdr:rowOff>
                  </to>
                </anchor>
              </controlPr>
            </control>
          </mc:Choice>
        </mc:AlternateContent>
        <mc:AlternateContent xmlns:mc="http://schemas.openxmlformats.org/markup-compatibility/2006">
          <mc:Choice Requires="x14">
            <control shapeId="2102" r:id="rId19" name="Group Box 54">
              <controlPr defaultSize="0" autoFill="0" autoPict="0">
                <anchor moveWithCells="1">
                  <from>
                    <xdr:col>4</xdr:col>
                    <xdr:colOff>0</xdr:colOff>
                    <xdr:row>137</xdr:row>
                    <xdr:rowOff>0</xdr:rowOff>
                  </from>
                  <to>
                    <xdr:col>5</xdr:col>
                    <xdr:colOff>0</xdr:colOff>
                    <xdr:row>142</xdr:row>
                    <xdr:rowOff>0</xdr:rowOff>
                  </to>
                </anchor>
              </controlPr>
            </control>
          </mc:Choice>
        </mc:AlternateContent>
        <mc:AlternateContent xmlns:mc="http://schemas.openxmlformats.org/markup-compatibility/2006">
          <mc:Choice Requires="x14">
            <control shapeId="2103" r:id="rId20" name="Option Button 55">
              <controlPr defaultSize="0" autoFill="0" autoLine="0" autoPict="0">
                <anchor moveWithCells="1">
                  <from>
                    <xdr:col>5</xdr:col>
                    <xdr:colOff>238125</xdr:colOff>
                    <xdr:row>137</xdr:row>
                    <xdr:rowOff>9525</xdr:rowOff>
                  </from>
                  <to>
                    <xdr:col>5</xdr:col>
                    <xdr:colOff>476250</xdr:colOff>
                    <xdr:row>138</xdr:row>
                    <xdr:rowOff>9525</xdr:rowOff>
                  </to>
                </anchor>
              </controlPr>
            </control>
          </mc:Choice>
        </mc:AlternateContent>
        <mc:AlternateContent xmlns:mc="http://schemas.openxmlformats.org/markup-compatibility/2006">
          <mc:Choice Requires="x14">
            <control shapeId="2104" r:id="rId21" name="Option Button 56">
              <controlPr defaultSize="0" autoFill="0" autoLine="0" autoPict="0">
                <anchor moveWithCells="1">
                  <from>
                    <xdr:col>5</xdr:col>
                    <xdr:colOff>238125</xdr:colOff>
                    <xdr:row>139</xdr:row>
                    <xdr:rowOff>0</xdr:rowOff>
                  </from>
                  <to>
                    <xdr:col>5</xdr:col>
                    <xdr:colOff>476250</xdr:colOff>
                    <xdr:row>139</xdr:row>
                    <xdr:rowOff>180975</xdr:rowOff>
                  </to>
                </anchor>
              </controlPr>
            </control>
          </mc:Choice>
        </mc:AlternateContent>
        <mc:AlternateContent xmlns:mc="http://schemas.openxmlformats.org/markup-compatibility/2006">
          <mc:Choice Requires="x14">
            <control shapeId="2105" r:id="rId22" name="Option Button 57">
              <controlPr defaultSize="0" autoFill="0" autoLine="0" autoPict="0">
                <anchor moveWithCells="1">
                  <from>
                    <xdr:col>5</xdr:col>
                    <xdr:colOff>238125</xdr:colOff>
                    <xdr:row>140</xdr:row>
                    <xdr:rowOff>0</xdr:rowOff>
                  </from>
                  <to>
                    <xdr:col>5</xdr:col>
                    <xdr:colOff>476250</xdr:colOff>
                    <xdr:row>140</xdr:row>
                    <xdr:rowOff>180975</xdr:rowOff>
                  </to>
                </anchor>
              </controlPr>
            </control>
          </mc:Choice>
        </mc:AlternateContent>
        <mc:AlternateContent xmlns:mc="http://schemas.openxmlformats.org/markup-compatibility/2006">
          <mc:Choice Requires="x14">
            <control shapeId="2107" r:id="rId23" name="Group Box 59">
              <controlPr defaultSize="0" autoFill="0" autoPict="0">
                <anchor moveWithCells="1">
                  <from>
                    <xdr:col>5</xdr:col>
                    <xdr:colOff>0</xdr:colOff>
                    <xdr:row>137</xdr:row>
                    <xdr:rowOff>0</xdr:rowOff>
                  </from>
                  <to>
                    <xdr:col>6</xdr:col>
                    <xdr:colOff>0</xdr:colOff>
                    <xdr:row>141</xdr:row>
                    <xdr:rowOff>190500</xdr:rowOff>
                  </to>
                </anchor>
              </controlPr>
            </control>
          </mc:Choice>
        </mc:AlternateContent>
        <mc:AlternateContent xmlns:mc="http://schemas.openxmlformats.org/markup-compatibility/2006">
          <mc:Choice Requires="x14">
            <control shapeId="2108" r:id="rId24" name="Option Button 60">
              <controlPr defaultSize="0" autoFill="0" autoLine="0" autoPict="0">
                <anchor moveWithCells="1">
                  <from>
                    <xdr:col>6</xdr:col>
                    <xdr:colOff>238125</xdr:colOff>
                    <xdr:row>137</xdr:row>
                    <xdr:rowOff>9525</xdr:rowOff>
                  </from>
                  <to>
                    <xdr:col>6</xdr:col>
                    <xdr:colOff>476250</xdr:colOff>
                    <xdr:row>138</xdr:row>
                    <xdr:rowOff>9525</xdr:rowOff>
                  </to>
                </anchor>
              </controlPr>
            </control>
          </mc:Choice>
        </mc:AlternateContent>
        <mc:AlternateContent xmlns:mc="http://schemas.openxmlformats.org/markup-compatibility/2006">
          <mc:Choice Requires="x14">
            <control shapeId="2109" r:id="rId25" name="Option Button 61">
              <controlPr defaultSize="0" autoFill="0" autoLine="0" autoPict="0">
                <anchor moveWithCells="1">
                  <from>
                    <xdr:col>6</xdr:col>
                    <xdr:colOff>238125</xdr:colOff>
                    <xdr:row>139</xdr:row>
                    <xdr:rowOff>0</xdr:rowOff>
                  </from>
                  <to>
                    <xdr:col>6</xdr:col>
                    <xdr:colOff>476250</xdr:colOff>
                    <xdr:row>139</xdr:row>
                    <xdr:rowOff>180975</xdr:rowOff>
                  </to>
                </anchor>
              </controlPr>
            </control>
          </mc:Choice>
        </mc:AlternateContent>
        <mc:AlternateContent xmlns:mc="http://schemas.openxmlformats.org/markup-compatibility/2006">
          <mc:Choice Requires="x14">
            <control shapeId="2110" r:id="rId26" name="Option Button 62">
              <controlPr defaultSize="0" autoFill="0" autoLine="0" autoPict="0">
                <anchor moveWithCells="1">
                  <from>
                    <xdr:col>6</xdr:col>
                    <xdr:colOff>238125</xdr:colOff>
                    <xdr:row>140</xdr:row>
                    <xdr:rowOff>0</xdr:rowOff>
                  </from>
                  <to>
                    <xdr:col>6</xdr:col>
                    <xdr:colOff>476250</xdr:colOff>
                    <xdr:row>140</xdr:row>
                    <xdr:rowOff>180975</xdr:rowOff>
                  </to>
                </anchor>
              </controlPr>
            </control>
          </mc:Choice>
        </mc:AlternateContent>
        <mc:AlternateContent xmlns:mc="http://schemas.openxmlformats.org/markup-compatibility/2006">
          <mc:Choice Requires="x14">
            <control shapeId="2112" r:id="rId27" name="Group Box 64">
              <controlPr defaultSize="0" autoFill="0" autoPict="0">
                <anchor moveWithCells="1">
                  <from>
                    <xdr:col>6</xdr:col>
                    <xdr:colOff>9525</xdr:colOff>
                    <xdr:row>137</xdr:row>
                    <xdr:rowOff>0</xdr:rowOff>
                  </from>
                  <to>
                    <xdr:col>7</xdr:col>
                    <xdr:colOff>9525</xdr:colOff>
                    <xdr:row>142</xdr:row>
                    <xdr:rowOff>0</xdr:rowOff>
                  </to>
                </anchor>
              </controlPr>
            </control>
          </mc:Choice>
        </mc:AlternateContent>
        <mc:AlternateContent xmlns:mc="http://schemas.openxmlformats.org/markup-compatibility/2006">
          <mc:Choice Requires="x14">
            <control shapeId="2113" r:id="rId28" name="Option Button 65">
              <controlPr defaultSize="0" autoFill="0" autoLine="0" autoPict="0">
                <anchor moveWithCells="1">
                  <from>
                    <xdr:col>7</xdr:col>
                    <xdr:colOff>238125</xdr:colOff>
                    <xdr:row>138</xdr:row>
                    <xdr:rowOff>0</xdr:rowOff>
                  </from>
                  <to>
                    <xdr:col>7</xdr:col>
                    <xdr:colOff>476250</xdr:colOff>
                    <xdr:row>138</xdr:row>
                    <xdr:rowOff>180975</xdr:rowOff>
                  </to>
                </anchor>
              </controlPr>
            </control>
          </mc:Choice>
        </mc:AlternateContent>
        <mc:AlternateContent xmlns:mc="http://schemas.openxmlformats.org/markup-compatibility/2006">
          <mc:Choice Requires="x14">
            <control shapeId="2117" r:id="rId29" name="Group Box 69">
              <controlPr defaultSize="0" autoFill="0" autoPict="0">
                <anchor moveWithCells="1">
                  <from>
                    <xdr:col>7</xdr:col>
                    <xdr:colOff>0</xdr:colOff>
                    <xdr:row>137</xdr:row>
                    <xdr:rowOff>0</xdr:rowOff>
                  </from>
                  <to>
                    <xdr:col>8</xdr:col>
                    <xdr:colOff>0</xdr:colOff>
                    <xdr:row>142</xdr:row>
                    <xdr:rowOff>0</xdr:rowOff>
                  </to>
                </anchor>
              </controlPr>
            </control>
          </mc:Choice>
        </mc:AlternateContent>
        <mc:AlternateContent xmlns:mc="http://schemas.openxmlformats.org/markup-compatibility/2006">
          <mc:Choice Requires="x14">
            <control shapeId="2126" r:id="rId30" name="Option Button 78">
              <controlPr defaultSize="0" autoFill="0" autoLine="0" autoPict="0">
                <anchor moveWithCells="1">
                  <from>
                    <xdr:col>7</xdr:col>
                    <xdr:colOff>238125</xdr:colOff>
                    <xdr:row>139</xdr:row>
                    <xdr:rowOff>9525</xdr:rowOff>
                  </from>
                  <to>
                    <xdr:col>7</xdr:col>
                    <xdr:colOff>476250</xdr:colOff>
                    <xdr:row>140</xdr:row>
                    <xdr:rowOff>0</xdr:rowOff>
                  </to>
                </anchor>
              </controlPr>
            </control>
          </mc:Choice>
        </mc:AlternateContent>
        <mc:AlternateContent xmlns:mc="http://schemas.openxmlformats.org/markup-compatibility/2006">
          <mc:Choice Requires="x14">
            <control shapeId="2127" r:id="rId31" name="Option Button 79">
              <controlPr defaultSize="0" autoFill="0" autoLine="0" autoPict="0">
                <anchor moveWithCells="1">
                  <from>
                    <xdr:col>7</xdr:col>
                    <xdr:colOff>238125</xdr:colOff>
                    <xdr:row>139</xdr:row>
                    <xdr:rowOff>190500</xdr:rowOff>
                  </from>
                  <to>
                    <xdr:col>7</xdr:col>
                    <xdr:colOff>476250</xdr:colOff>
                    <xdr:row>140</xdr:row>
                    <xdr:rowOff>180975</xdr:rowOff>
                  </to>
                </anchor>
              </controlPr>
            </control>
          </mc:Choice>
        </mc:AlternateContent>
        <mc:AlternateContent xmlns:mc="http://schemas.openxmlformats.org/markup-compatibility/2006">
          <mc:Choice Requires="x14">
            <control shapeId="2128" r:id="rId32" name="Option Button 80">
              <controlPr defaultSize="0" autoFill="0" autoLine="0" autoPict="0">
                <anchor moveWithCells="1">
                  <from>
                    <xdr:col>7</xdr:col>
                    <xdr:colOff>238125</xdr:colOff>
                    <xdr:row>141</xdr:row>
                    <xdr:rowOff>0</xdr:rowOff>
                  </from>
                  <to>
                    <xdr:col>7</xdr:col>
                    <xdr:colOff>476250</xdr:colOff>
                    <xdr:row>141</xdr:row>
                    <xdr:rowOff>180975</xdr:rowOff>
                  </to>
                </anchor>
              </controlPr>
            </control>
          </mc:Choice>
        </mc:AlternateContent>
        <mc:AlternateContent xmlns:mc="http://schemas.openxmlformats.org/markup-compatibility/2006">
          <mc:Choice Requires="x14">
            <control shapeId="2129" r:id="rId33" name="Option Button 81">
              <controlPr defaultSize="0" autoFill="0" autoLine="0" autoPict="0">
                <anchor moveWithCells="1">
                  <from>
                    <xdr:col>6</xdr:col>
                    <xdr:colOff>238125</xdr:colOff>
                    <xdr:row>141</xdr:row>
                    <xdr:rowOff>0</xdr:rowOff>
                  </from>
                  <to>
                    <xdr:col>6</xdr:col>
                    <xdr:colOff>476250</xdr:colOff>
                    <xdr:row>141</xdr:row>
                    <xdr:rowOff>180975</xdr:rowOff>
                  </to>
                </anchor>
              </controlPr>
            </control>
          </mc:Choice>
        </mc:AlternateContent>
        <mc:AlternateContent xmlns:mc="http://schemas.openxmlformats.org/markup-compatibility/2006">
          <mc:Choice Requires="x14">
            <control shapeId="2130" r:id="rId34" name="Option Button 82">
              <controlPr defaultSize="0" autoFill="0" autoLine="0" autoPict="0">
                <anchor moveWithCells="1">
                  <from>
                    <xdr:col>5</xdr:col>
                    <xdr:colOff>238125</xdr:colOff>
                    <xdr:row>141</xdr:row>
                    <xdr:rowOff>0</xdr:rowOff>
                  </from>
                  <to>
                    <xdr:col>5</xdr:col>
                    <xdr:colOff>476250</xdr:colOff>
                    <xdr:row>141</xdr:row>
                    <xdr:rowOff>180975</xdr:rowOff>
                  </to>
                </anchor>
              </controlPr>
            </control>
          </mc:Choice>
        </mc:AlternateContent>
        <mc:AlternateContent xmlns:mc="http://schemas.openxmlformats.org/markup-compatibility/2006">
          <mc:Choice Requires="x14">
            <control shapeId="2131" r:id="rId35" name="Option Button 83">
              <controlPr defaultSize="0" autoFill="0" autoLine="0" autoPict="0">
                <anchor moveWithCells="1">
                  <from>
                    <xdr:col>4</xdr:col>
                    <xdr:colOff>238125</xdr:colOff>
                    <xdr:row>141</xdr:row>
                    <xdr:rowOff>0</xdr:rowOff>
                  </from>
                  <to>
                    <xdr:col>4</xdr:col>
                    <xdr:colOff>476250</xdr:colOff>
                    <xdr:row>141</xdr:row>
                    <xdr:rowOff>180975</xdr:rowOff>
                  </to>
                </anchor>
              </controlPr>
            </control>
          </mc:Choice>
        </mc:AlternateContent>
        <mc:AlternateContent xmlns:mc="http://schemas.openxmlformats.org/markup-compatibility/2006">
          <mc:Choice Requires="x14">
            <control shapeId="2132" r:id="rId36" name="Option Button 84">
              <controlPr defaultSize="0" autoFill="0" autoLine="0" autoPict="0">
                <anchor moveWithCells="1">
                  <from>
                    <xdr:col>3</xdr:col>
                    <xdr:colOff>238125</xdr:colOff>
                    <xdr:row>141</xdr:row>
                    <xdr:rowOff>0</xdr:rowOff>
                  </from>
                  <to>
                    <xdr:col>3</xdr:col>
                    <xdr:colOff>476250</xdr:colOff>
                    <xdr:row>141</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00000000-0002-0000-0000-000008000000}">
          <x14:formula1>
            <xm:f>'Configuration Known'!$O$5:$O$6</xm:f>
          </x14:formula1>
          <xm:sqref>B10</xm:sqref>
        </x14:dataValidation>
        <x14:dataValidation type="list" allowBlank="1" showInputMessage="1" showErrorMessage="1" xr:uid="{D7E6B566-6825-4A1D-AE31-2A2979EC70A0}">
          <x14:formula1>
            <xm:f>'Configuration Known'!$Q$5:$Q$6</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R44"/>
  <sheetViews>
    <sheetView showGridLines="0" tabSelected="1" zoomScaleNormal="100" workbookViewId="0">
      <selection activeCell="O3" sqref="O1:R1048576"/>
    </sheetView>
  </sheetViews>
  <sheetFormatPr defaultRowHeight="15" x14ac:dyDescent="0.25"/>
  <cols>
    <col min="1" max="1" width="22.140625" customWidth="1"/>
    <col min="2" max="2" width="19.5703125" customWidth="1"/>
    <col min="9" max="9" width="2" customWidth="1"/>
    <col min="10" max="10" width="9.140625" hidden="1" customWidth="1"/>
    <col min="11" max="11" width="16.140625" hidden="1" customWidth="1"/>
    <col min="12" max="12" width="11.42578125" bestFit="1" customWidth="1"/>
    <col min="13" max="13" width="5.42578125" bestFit="1" customWidth="1"/>
    <col min="14" max="14" width="10.42578125" customWidth="1"/>
    <col min="15" max="15" width="21.7109375" hidden="1" customWidth="1"/>
    <col min="16" max="17" width="16" hidden="1" customWidth="1"/>
    <col min="18" max="18" width="12.85546875" hidden="1" customWidth="1"/>
  </cols>
  <sheetData>
    <row r="1" spans="1:18" ht="39" customHeight="1" x14ac:dyDescent="0.25"/>
    <row r="2" spans="1:18" ht="15" customHeight="1" x14ac:dyDescent="0.25">
      <c r="A2" s="2" t="s">
        <v>118</v>
      </c>
      <c r="B2" s="2"/>
      <c r="C2" s="2"/>
      <c r="D2" s="2"/>
      <c r="E2" s="2"/>
      <c r="F2" s="2"/>
      <c r="G2" s="2"/>
      <c r="H2" s="2"/>
      <c r="I2" s="2"/>
    </row>
    <row r="3" spans="1:18" ht="227.25" customHeight="1" x14ac:dyDescent="0.25"/>
    <row r="4" spans="1:18" x14ac:dyDescent="0.25">
      <c r="O4" t="s">
        <v>119</v>
      </c>
      <c r="P4" t="s">
        <v>117</v>
      </c>
      <c r="Q4" t="s">
        <v>124</v>
      </c>
    </row>
    <row r="5" spans="1:18" x14ac:dyDescent="0.25">
      <c r="A5" s="2" t="s">
        <v>114</v>
      </c>
      <c r="B5" s="23" t="s">
        <v>115</v>
      </c>
      <c r="E5" s="17"/>
      <c r="O5" t="s">
        <v>115</v>
      </c>
      <c r="P5" s="62">
        <v>45108</v>
      </c>
      <c r="Q5" s="62" t="s">
        <v>125</v>
      </c>
    </row>
    <row r="6" spans="1:18" x14ac:dyDescent="0.25">
      <c r="A6" s="2" t="s">
        <v>117</v>
      </c>
      <c r="B6" s="63">
        <f>IF($B$5="Canada",$P$5,IF($B$5="USA",$P$6,"Select Country First"))</f>
        <v>45108</v>
      </c>
      <c r="O6" t="s">
        <v>116</v>
      </c>
      <c r="P6" s="62">
        <v>45108</v>
      </c>
      <c r="Q6" s="62" t="s">
        <v>126</v>
      </c>
    </row>
    <row r="7" spans="1:18" x14ac:dyDescent="0.25">
      <c r="A7" s="2" t="s">
        <v>129</v>
      </c>
      <c r="B7" s="65" t="s">
        <v>125</v>
      </c>
      <c r="C7" t="str">
        <f>IF(B7=Q6," *Wireless Internet Gateway #43301 required (sold separately)","")</f>
        <v/>
      </c>
      <c r="P7" s="62"/>
      <c r="Q7" s="62"/>
    </row>
    <row r="8" spans="1:18" x14ac:dyDescent="0.25">
      <c r="B8" t="str">
        <f>IF(ISBLANK(B7),"Select Thermostat Connection","")</f>
        <v/>
      </c>
    </row>
    <row r="9" spans="1:18" x14ac:dyDescent="0.25">
      <c r="A9" s="2"/>
      <c r="B9" s="2"/>
      <c r="C9" s="81" t="s">
        <v>75</v>
      </c>
      <c r="D9" s="81"/>
      <c r="E9" s="81"/>
      <c r="F9" s="81"/>
      <c r="G9" s="81"/>
      <c r="H9" s="81"/>
      <c r="I9" s="3"/>
      <c r="L9" s="17"/>
    </row>
    <row r="10" spans="1:18" ht="15.75" thickBot="1" x14ac:dyDescent="0.3">
      <c r="A10" s="10" t="s">
        <v>23</v>
      </c>
      <c r="B10" s="10" t="s">
        <v>10</v>
      </c>
      <c r="C10" s="10"/>
      <c r="D10" s="10">
        <v>5</v>
      </c>
      <c r="E10" s="10">
        <v>4</v>
      </c>
      <c r="F10" s="10">
        <v>3</v>
      </c>
      <c r="G10" s="10">
        <v>2</v>
      </c>
      <c r="H10" s="10">
        <v>1</v>
      </c>
      <c r="I10" s="3"/>
      <c r="J10" s="2" t="s">
        <v>26</v>
      </c>
      <c r="K10" s="2" t="s">
        <v>21</v>
      </c>
      <c r="L10" s="17" t="s">
        <v>11</v>
      </c>
      <c r="M10" s="18" t="s">
        <v>30</v>
      </c>
      <c r="N10" s="18" t="s">
        <v>19</v>
      </c>
      <c r="O10" t="s">
        <v>113</v>
      </c>
      <c r="Q10" t="s">
        <v>120</v>
      </c>
      <c r="R10" t="s">
        <v>121</v>
      </c>
    </row>
    <row r="11" spans="1:18" x14ac:dyDescent="0.25">
      <c r="A11" s="1" t="s">
        <v>24</v>
      </c>
      <c r="B11" t="s">
        <v>12</v>
      </c>
      <c r="C11" s="52"/>
      <c r="D11" s="15"/>
      <c r="E11" s="15"/>
      <c r="F11" s="15"/>
      <c r="G11" s="15"/>
      <c r="H11" s="13" t="s">
        <v>24</v>
      </c>
      <c r="K11" s="2"/>
      <c r="L11" s="2"/>
      <c r="M11" s="6"/>
      <c r="N11" s="6"/>
      <c r="O11" s="5"/>
      <c r="Q11" s="5"/>
    </row>
    <row r="12" spans="1:18" x14ac:dyDescent="0.25">
      <c r="A12" s="39" t="s">
        <v>2</v>
      </c>
      <c r="B12" s="40" t="s">
        <v>6</v>
      </c>
      <c r="C12" s="41"/>
      <c r="D12" s="41" t="s">
        <v>24</v>
      </c>
      <c r="E12" s="41" t="s">
        <v>24</v>
      </c>
      <c r="F12" s="41" t="s">
        <v>24</v>
      </c>
      <c r="G12" s="41" t="s">
        <v>24</v>
      </c>
      <c r="H12" s="15"/>
      <c r="J12" s="1">
        <v>1</v>
      </c>
      <c r="K12" t="s">
        <v>6</v>
      </c>
      <c r="L12" s="7">
        <f>IF($B$5="Canada",$Q12,IF($B$5="USA",$R12,0))</f>
        <v>1052</v>
      </c>
      <c r="M12" s="5">
        <f>COUNTIF($C$28:$H$28,$J12)</f>
        <v>1</v>
      </c>
      <c r="N12" s="7">
        <f>L12*M12</f>
        <v>1052</v>
      </c>
      <c r="O12" s="70" t="str">
        <f>IF($M12&gt;0,$K12,"")</f>
        <v>DHW</v>
      </c>
      <c r="Q12" s="7">
        <v>1052</v>
      </c>
      <c r="R12" s="7">
        <v>1115</v>
      </c>
    </row>
    <row r="13" spans="1:18" x14ac:dyDescent="0.25">
      <c r="A13" s="1" t="s">
        <v>3</v>
      </c>
      <c r="B13" t="s">
        <v>7</v>
      </c>
      <c r="C13" s="13"/>
      <c r="D13" s="13" t="s">
        <v>24</v>
      </c>
      <c r="E13" s="13" t="s">
        <v>24</v>
      </c>
      <c r="F13" s="15"/>
      <c r="G13" s="15"/>
      <c r="H13" s="15"/>
      <c r="J13" s="1">
        <v>2</v>
      </c>
      <c r="K13" t="s">
        <v>141</v>
      </c>
      <c r="L13" s="7">
        <f t="shared" ref="L13:L23" si="0">IF($B$5="Canada",$Q13,IF($B$5="USA",$R13,0))</f>
        <v>1052</v>
      </c>
      <c r="M13" s="5">
        <f>COUNTIF($C$28:$H$28,$J13)</f>
        <v>0</v>
      </c>
      <c r="N13" s="7">
        <f>L13*M13</f>
        <v>0</v>
      </c>
      <c r="O13" s="70" t="str">
        <f>IF($M13&gt;0,CONCATENATE($K13,"-",$M13),"")</f>
        <v/>
      </c>
      <c r="Q13" s="7">
        <v>1052</v>
      </c>
      <c r="R13" s="7">
        <v>1115</v>
      </c>
    </row>
    <row r="14" spans="1:18" x14ac:dyDescent="0.25">
      <c r="A14" s="39" t="s">
        <v>5</v>
      </c>
      <c r="B14" s="40" t="s">
        <v>9</v>
      </c>
      <c r="C14" s="39"/>
      <c r="D14" s="15"/>
      <c r="E14" s="15"/>
      <c r="F14" s="15"/>
      <c r="G14" s="15"/>
      <c r="H14" s="15"/>
      <c r="J14" s="1">
        <v>3</v>
      </c>
      <c r="K14" t="s">
        <v>142</v>
      </c>
      <c r="L14" s="7">
        <f t="shared" si="0"/>
        <v>1682</v>
      </c>
      <c r="M14" s="5">
        <f>COUNTIF($C$28:$H$28,$J14)</f>
        <v>0</v>
      </c>
      <c r="N14" s="7">
        <f>L14*M14</f>
        <v>0</v>
      </c>
      <c r="O14" s="70" t="str">
        <f>IF($M14&gt;0,CONCATENATE($K14,"-",$M14),"")</f>
        <v/>
      </c>
      <c r="Q14" s="7">
        <v>1682</v>
      </c>
      <c r="R14" s="7">
        <v>1780</v>
      </c>
    </row>
    <row r="15" spans="1:18" ht="15.75" thickBot="1" x14ac:dyDescent="0.3">
      <c r="A15" s="74" t="s">
        <v>4</v>
      </c>
      <c r="B15" s="75" t="s">
        <v>8</v>
      </c>
      <c r="C15" s="74"/>
      <c r="D15" s="16"/>
      <c r="E15" s="16"/>
      <c r="F15" s="16"/>
      <c r="G15" s="16"/>
      <c r="H15" s="16"/>
      <c r="J15" s="1">
        <v>4</v>
      </c>
      <c r="K15" t="s">
        <v>143</v>
      </c>
      <c r="L15" s="7">
        <f t="shared" si="0"/>
        <v>1531</v>
      </c>
      <c r="M15" s="5">
        <f>COUNTIF($C$28:$H$28,$J15)</f>
        <v>0</v>
      </c>
      <c r="N15" s="7">
        <f>L15*M15</f>
        <v>0</v>
      </c>
      <c r="O15" s="70" t="str">
        <f>IF($M15&gt;0,CONCATENATE($K15,"-",$M15),"")</f>
        <v/>
      </c>
      <c r="Q15" s="7">
        <v>1531</v>
      </c>
      <c r="R15" s="7">
        <v>1624</v>
      </c>
    </row>
    <row r="16" spans="1:18" x14ac:dyDescent="0.25">
      <c r="A16" s="76" t="s">
        <v>22</v>
      </c>
      <c r="B16" s="77" t="s">
        <v>0</v>
      </c>
      <c r="C16" s="78" t="s">
        <v>25</v>
      </c>
      <c r="J16" s="1"/>
      <c r="L16" s="7"/>
      <c r="M16" s="5"/>
      <c r="N16" s="7"/>
      <c r="O16" s="70" t="str">
        <f>_xlfn.TEXTJOIN(" ",TRUE,O12:O15)</f>
        <v>DHW</v>
      </c>
      <c r="P16" s="5"/>
      <c r="Q16" s="7"/>
      <c r="R16" s="7"/>
    </row>
    <row r="17" spans="1:18" x14ac:dyDescent="0.25">
      <c r="A17" s="1">
        <v>0</v>
      </c>
      <c r="B17" t="s">
        <v>12</v>
      </c>
      <c r="C17" s="4"/>
      <c r="E17" s="79" t="str">
        <f>_xlfn.CONCAT(J34,J35,J36,J37,J38)</f>
        <v>Configure at least two circuits.</v>
      </c>
      <c r="F17" s="79"/>
      <c r="G17" s="79"/>
      <c r="H17" s="79"/>
      <c r="J17" s="1">
        <v>1</v>
      </c>
      <c r="K17" t="s">
        <v>144</v>
      </c>
      <c r="L17" s="7">
        <f t="shared" si="0"/>
        <v>2167</v>
      </c>
      <c r="M17" s="5">
        <f>COUNTIF($B$28,$J17)</f>
        <v>1</v>
      </c>
      <c r="N17" s="7">
        <f>L17*M17</f>
        <v>2167</v>
      </c>
      <c r="O17" s="70" t="str">
        <f>IF($M17&gt;0,$K17,"")</f>
        <v>NONE</v>
      </c>
      <c r="P17" s="5"/>
      <c r="Q17" s="7">
        <v>2167</v>
      </c>
      <c r="R17" s="7">
        <v>2299</v>
      </c>
    </row>
    <row r="18" spans="1:18" x14ac:dyDescent="0.25">
      <c r="A18" s="39">
        <v>1</v>
      </c>
      <c r="B18" s="40" t="s">
        <v>13</v>
      </c>
      <c r="C18" s="4"/>
      <c r="E18" s="79"/>
      <c r="F18" s="79"/>
      <c r="G18" s="79"/>
      <c r="H18" s="79"/>
      <c r="J18" s="1">
        <v>2</v>
      </c>
      <c r="K18">
        <v>1558</v>
      </c>
      <c r="L18" s="7">
        <f t="shared" si="0"/>
        <v>2600</v>
      </c>
      <c r="M18" s="5">
        <f>COUNTIF($B$28,$J18)</f>
        <v>0</v>
      </c>
      <c r="N18" s="7">
        <f>L18*M18</f>
        <v>0</v>
      </c>
      <c r="O18" s="70" t="str">
        <f>IF($M18&gt;0,$K18,"")</f>
        <v/>
      </c>
      <c r="P18" s="5"/>
      <c r="Q18" s="7">
        <v>2600</v>
      </c>
      <c r="R18" s="7">
        <v>2754</v>
      </c>
    </row>
    <row r="19" spans="1:18" x14ac:dyDescent="0.25">
      <c r="A19" s="1">
        <v>2</v>
      </c>
      <c r="B19" t="s">
        <v>14</v>
      </c>
      <c r="C19" s="4"/>
      <c r="E19" s="79"/>
      <c r="F19" s="79"/>
      <c r="G19" s="79"/>
      <c r="H19" s="79"/>
      <c r="J19" s="1">
        <v>3</v>
      </c>
      <c r="K19">
        <v>2699</v>
      </c>
      <c r="L19" s="7">
        <f t="shared" si="0"/>
        <v>3765</v>
      </c>
      <c r="M19" s="5">
        <f>COUNTIF($B$28,$J19)</f>
        <v>0</v>
      </c>
      <c r="N19" s="7">
        <f>L19*M19</f>
        <v>0</v>
      </c>
      <c r="O19" s="70" t="str">
        <f>IF($M19&gt;0,$K19,"")</f>
        <v/>
      </c>
      <c r="P19" s="5"/>
      <c r="Q19" s="7">
        <v>3765</v>
      </c>
      <c r="R19" s="7">
        <v>3989</v>
      </c>
    </row>
    <row r="20" spans="1:18" x14ac:dyDescent="0.25">
      <c r="A20" s="39">
        <v>3</v>
      </c>
      <c r="B20" s="40" t="s">
        <v>15</v>
      </c>
      <c r="C20" s="4"/>
      <c r="E20" s="79"/>
      <c r="F20" s="79"/>
      <c r="G20" s="79"/>
      <c r="H20" s="79"/>
      <c r="J20" s="1">
        <v>4</v>
      </c>
      <c r="K20">
        <v>26150</v>
      </c>
      <c r="L20" s="7">
        <f t="shared" si="0"/>
        <v>5936</v>
      </c>
      <c r="M20" s="5">
        <f>COUNTIF($B$28,$J20)</f>
        <v>0</v>
      </c>
      <c r="N20" s="7">
        <f>L20*M20</f>
        <v>0</v>
      </c>
      <c r="O20" s="70" t="str">
        <f>IF($M20&gt;0,$K20,"")</f>
        <v/>
      </c>
      <c r="P20" s="5"/>
      <c r="Q20" s="7">
        <v>5936</v>
      </c>
      <c r="R20" s="7">
        <v>6294</v>
      </c>
    </row>
    <row r="21" spans="1:18" x14ac:dyDescent="0.25">
      <c r="E21" s="64"/>
      <c r="F21" s="64"/>
      <c r="G21" s="64"/>
      <c r="H21" s="64"/>
      <c r="J21" s="1"/>
      <c r="L21" s="7"/>
      <c r="M21" s="5"/>
      <c r="N21" s="7"/>
      <c r="O21" s="70" t="str">
        <f>CONCATENATE("P-",O17,O18,O19,O20," ")</f>
        <v xml:space="preserve">P-NONE </v>
      </c>
      <c r="P21" s="5"/>
      <c r="Q21" s="7"/>
      <c r="R21" s="7"/>
    </row>
    <row r="22" spans="1:18" x14ac:dyDescent="0.25">
      <c r="E22" s="64"/>
      <c r="F22" s="64"/>
      <c r="G22" s="64"/>
      <c r="H22" s="66" t="str">
        <f>Q5</f>
        <v>Wired</v>
      </c>
      <c r="J22" s="1" t="s">
        <v>127</v>
      </c>
      <c r="K22" t="s">
        <v>139</v>
      </c>
      <c r="L22" s="7">
        <f t="shared" si="0"/>
        <v>0</v>
      </c>
      <c r="M22" s="5">
        <f>IF(B7=Q5,1,0)</f>
        <v>1</v>
      </c>
      <c r="N22" s="7">
        <f>L22*M22</f>
        <v>0</v>
      </c>
      <c r="O22" s="70" t="str">
        <f>IF(OR($M22&gt;0,SUM(M22:M23)&lt;1),$K22,"")</f>
        <v>WRD</v>
      </c>
      <c r="P22" s="5"/>
      <c r="Q22" s="7"/>
      <c r="R22" s="7"/>
    </row>
    <row r="23" spans="1:18" x14ac:dyDescent="0.25">
      <c r="E23" s="64"/>
      <c r="F23" s="64"/>
      <c r="G23" s="64"/>
      <c r="H23" s="66" t="str">
        <f>Q6</f>
        <v>Wireless</v>
      </c>
      <c r="J23" s="1" t="s">
        <v>128</v>
      </c>
      <c r="K23" t="s">
        <v>140</v>
      </c>
      <c r="L23" s="7">
        <f t="shared" si="0"/>
        <v>410</v>
      </c>
      <c r="M23" s="5">
        <f>IF(B7=Q6,1,0)</f>
        <v>0</v>
      </c>
      <c r="N23" s="7">
        <f>L23*M23</f>
        <v>0</v>
      </c>
      <c r="O23" s="70" t="str">
        <f>IF($M23&gt;0,$K23,"")</f>
        <v/>
      </c>
      <c r="P23" s="5"/>
      <c r="Q23" s="7">
        <v>410</v>
      </c>
      <c r="R23" s="7">
        <v>509</v>
      </c>
    </row>
    <row r="24" spans="1:18" x14ac:dyDescent="0.25">
      <c r="E24" s="64"/>
      <c r="F24" s="64"/>
      <c r="G24" s="64"/>
      <c r="H24" s="64"/>
      <c r="J24" s="1" t="str">
        <f>IFERROR(INDEX(J22:J23,MATCH(1,M22:M23,0),1),J22)</f>
        <v>W1</v>
      </c>
      <c r="L24" s="7"/>
      <c r="M24" s="5"/>
      <c r="N24" s="7"/>
      <c r="O24" s="70" t="str">
        <f>CONCATENATE(O22,O23, " ")</f>
        <v xml:space="preserve">WRD </v>
      </c>
      <c r="P24" s="5"/>
      <c r="Q24" s="7"/>
      <c r="R24" s="7"/>
    </row>
    <row r="25" spans="1:18" x14ac:dyDescent="0.25">
      <c r="M25" s="5" t="s">
        <v>20</v>
      </c>
      <c r="N25" s="19">
        <f>SUM(N12:N23)</f>
        <v>3219</v>
      </c>
      <c r="P25" s="5"/>
      <c r="Q25" s="5"/>
    </row>
    <row r="26" spans="1:18" hidden="1" x14ac:dyDescent="0.25">
      <c r="A26" s="3"/>
      <c r="B26" s="3" t="s">
        <v>134</v>
      </c>
      <c r="C26" s="3"/>
      <c r="D26" s="81" t="s">
        <v>135</v>
      </c>
      <c r="E26" s="81"/>
      <c r="F26" s="81"/>
      <c r="G26" s="81"/>
      <c r="H26" s="81"/>
      <c r="I26" s="3"/>
    </row>
    <row r="27" spans="1:18" hidden="1" x14ac:dyDescent="0.25">
      <c r="A27" s="11" t="s">
        <v>29</v>
      </c>
      <c r="B27" s="72">
        <v>1</v>
      </c>
      <c r="C27" s="8"/>
      <c r="D27" s="72">
        <v>1</v>
      </c>
      <c r="E27" s="72">
        <v>1</v>
      </c>
      <c r="F27" s="72">
        <v>1</v>
      </c>
      <c r="G27" s="72">
        <v>1</v>
      </c>
      <c r="H27" s="72">
        <v>1</v>
      </c>
      <c r="I27" s="3"/>
    </row>
    <row r="28" spans="1:18" hidden="1" x14ac:dyDescent="0.25">
      <c r="A28" s="11" t="s">
        <v>31</v>
      </c>
      <c r="B28" s="69">
        <f>B27</f>
        <v>1</v>
      </c>
      <c r="C28" s="1"/>
      <c r="D28" s="69">
        <f>IF(D27&gt;1,D27+1,0)</f>
        <v>0</v>
      </c>
      <c r="E28" s="69">
        <f>IF(E27&gt;1,E27+1,0)</f>
        <v>0</v>
      </c>
      <c r="F28" s="69">
        <f>IF(F27&gt;1,F27,0)</f>
        <v>0</v>
      </c>
      <c r="G28" s="69">
        <f>IF(G27&gt;1,G27,0)</f>
        <v>0</v>
      </c>
      <c r="H28" s="69">
        <f>H27</f>
        <v>1</v>
      </c>
      <c r="I28" s="8"/>
    </row>
    <row r="29" spans="1:18" hidden="1" x14ac:dyDescent="0.25">
      <c r="A29" s="11" t="s">
        <v>27</v>
      </c>
      <c r="B29" s="69">
        <f>MATCH(B28,J17:J20,0)</f>
        <v>1</v>
      </c>
      <c r="C29" s="1"/>
      <c r="D29" s="69" t="e">
        <f>MATCH(D28,$J$12:$J$15,0)</f>
        <v>#N/A</v>
      </c>
      <c r="E29" s="69" t="e">
        <f>MATCH(E28,$J$12:$J$15,0)</f>
        <v>#N/A</v>
      </c>
      <c r="F29" s="69" t="e">
        <f>MATCH(F28,$J$12:$J$15,0)</f>
        <v>#N/A</v>
      </c>
      <c r="G29" s="69" t="e">
        <f>MATCH(G28,$J$12:$J$15,0)</f>
        <v>#N/A</v>
      </c>
      <c r="H29" s="69">
        <f>MATCH(H28,$J$12:$J$15,0)</f>
        <v>1</v>
      </c>
      <c r="I29" s="8"/>
    </row>
    <row r="30" spans="1:18" hidden="1" x14ac:dyDescent="0.25">
      <c r="A30" s="11" t="s">
        <v>28</v>
      </c>
      <c r="B30" s="69">
        <f>INDEX(A17:A20,B29)</f>
        <v>0</v>
      </c>
      <c r="C30" s="1"/>
      <c r="D30" s="69" t="str">
        <f>IFERROR(INDEX($A$12:$A$15,D29),"")</f>
        <v/>
      </c>
      <c r="E30" s="69" t="str">
        <f>IFERROR(INDEX($A$12:$A$15,E29),"")</f>
        <v/>
      </c>
      <c r="F30" s="69" t="str">
        <f>IFERROR(INDEX($A$12:$A$15,F29),"")</f>
        <v/>
      </c>
      <c r="G30" s="69" t="str">
        <f>IFERROR(INDEX($A$12:$A$15,G29),"")</f>
        <v/>
      </c>
      <c r="H30" s="69" t="str">
        <f>IFERROR(INDEX($A$12:$A$15,H29),"")</f>
        <v>D</v>
      </c>
    </row>
    <row r="31" spans="1:18" hidden="1" x14ac:dyDescent="0.25">
      <c r="A31" s="11" t="s">
        <v>136</v>
      </c>
      <c r="B31" s="1"/>
      <c r="C31" s="1"/>
      <c r="D31" s="69">
        <f>IF(D28&gt;0,1,0)</f>
        <v>0</v>
      </c>
      <c r="E31" s="69">
        <f t="shared" ref="E31:G31" si="1">IF(E28&gt;0,1,0)</f>
        <v>0</v>
      </c>
      <c r="F31" s="69">
        <f t="shared" si="1"/>
        <v>0</v>
      </c>
      <c r="G31" s="69">
        <f t="shared" si="1"/>
        <v>0</v>
      </c>
      <c r="H31" s="1"/>
    </row>
    <row r="32" spans="1:18" hidden="1" x14ac:dyDescent="0.25">
      <c r="A32" s="11"/>
      <c r="B32" s="1"/>
      <c r="C32" s="1"/>
      <c r="D32" s="1"/>
      <c r="E32" s="1"/>
      <c r="F32" s="1"/>
      <c r="G32" s="1"/>
      <c r="H32" s="1"/>
    </row>
    <row r="33" spans="1:16" hidden="1" x14ac:dyDescent="0.25">
      <c r="A33" s="11" t="s">
        <v>130</v>
      </c>
      <c r="B33" s="1"/>
      <c r="C33" s="1"/>
      <c r="D33" s="1"/>
      <c r="E33" s="1"/>
      <c r="F33" s="1"/>
      <c r="G33" s="1"/>
      <c r="H33" s="1"/>
    </row>
    <row r="34" spans="1:16" hidden="1" x14ac:dyDescent="0.25">
      <c r="A34" s="11" t="s">
        <v>138</v>
      </c>
      <c r="B34" s="1"/>
      <c r="C34" s="1"/>
      <c r="D34" s="1"/>
      <c r="E34" s="1"/>
      <c r="F34" s="1"/>
      <c r="G34" s="1"/>
      <c r="H34" s="1"/>
      <c r="J34" s="68" t="str">
        <f>IF(SUM(M12:M15)&lt;2,A34,"")</f>
        <v>Configure at least two circuits.</v>
      </c>
    </row>
    <row r="35" spans="1:16" hidden="1" x14ac:dyDescent="0.25">
      <c r="A35" s="11" t="s">
        <v>137</v>
      </c>
      <c r="B35" s="1"/>
      <c r="C35" s="1"/>
      <c r="D35" s="1"/>
      <c r="E35" s="1"/>
      <c r="F35" s="1"/>
      <c r="G35" s="1"/>
      <c r="J35" s="71" t="str">
        <f>IF(M13&gt;2,A35&amp;CHAR(10),"")</f>
        <v/>
      </c>
    </row>
    <row r="36" spans="1:16" hidden="1" x14ac:dyDescent="0.25">
      <c r="A36" s="11" t="s">
        <v>131</v>
      </c>
      <c r="F36" s="68">
        <f>IF(AND(F30="H",OR(G30="L",G30="S",H30="L",H30="S")),1,0)</f>
        <v>0</v>
      </c>
      <c r="G36" s="68">
        <f>IF(AND(G30="H",OR(H30="L",H30="S")),1,0)</f>
        <v>0</v>
      </c>
      <c r="J36" s="68" t="str">
        <f>IF(SUM(F36,G36)&gt;0,A36&amp;CHAR(10),"")</f>
        <v/>
      </c>
    </row>
    <row r="37" spans="1:16" hidden="1" x14ac:dyDescent="0.25">
      <c r="A37" s="11" t="s">
        <v>132</v>
      </c>
      <c r="D37" s="68">
        <f>IF(AND(D30="L",OR(E30="S",F30="S",G30="S",H30="S")),1,0)</f>
        <v>0</v>
      </c>
      <c r="E37" s="68">
        <f>IF(AND(E30="L",OR(F30="S",G30="S",H30="S")),1,0)</f>
        <v>0</v>
      </c>
      <c r="F37" s="68">
        <f>IF(AND(F30="L",OR(G30="S",H30="S")),1,0)</f>
        <v>0</v>
      </c>
      <c r="G37" s="68">
        <f>IF(AND(G30="L",H30="S"),1,0)</f>
        <v>0</v>
      </c>
      <c r="J37" s="68" t="str">
        <f>IF(SUM(D37,E37,F37,G37)&gt;0,A37&amp;CHAR(10),"")</f>
        <v/>
      </c>
    </row>
    <row r="38" spans="1:16" hidden="1" x14ac:dyDescent="0.25">
      <c r="A38" s="11" t="s">
        <v>133</v>
      </c>
      <c r="D38" s="68">
        <f>IF(AND(D31=1,SUM(E31:G31)&lt;3),1,0)</f>
        <v>0</v>
      </c>
      <c r="E38" s="68">
        <f>IF(AND(E31=1,SUM(F31:G31)&lt;2),1,0)</f>
        <v>0</v>
      </c>
      <c r="F38" s="68">
        <f>IF(AND(F31=1,G31&lt;1),1,0)</f>
        <v>0</v>
      </c>
      <c r="G38" s="68"/>
      <c r="J38" s="68" t="str">
        <f>IF(SUM(D38,E38,F38,G38)&gt;0,A38,"")</f>
        <v/>
      </c>
    </row>
    <row r="40" spans="1:16" x14ac:dyDescent="0.25">
      <c r="A40" s="2" t="s">
        <v>1</v>
      </c>
      <c r="B40" s="49" t="str">
        <f>IF(E17="",CONCATENATE("TMP-M",J24,A16,B30,H30,G30,F30,E30,D30,C30),"")</f>
        <v/>
      </c>
      <c r="O40" t="s">
        <v>112</v>
      </c>
    </row>
    <row r="41" spans="1:16" x14ac:dyDescent="0.25">
      <c r="A41" s="2" t="s">
        <v>18</v>
      </c>
      <c r="B41" s="83" t="str">
        <f>IF(E17="",CONCATENATE("TMP-MULTI ",O24,O21,O16),"Please correct the error(s) above.")</f>
        <v>Please correct the error(s) above.</v>
      </c>
      <c r="C41" s="84"/>
      <c r="D41" s="84"/>
      <c r="E41" s="84"/>
      <c r="F41" s="84"/>
      <c r="G41" s="84"/>
      <c r="H41" s="84"/>
      <c r="O41">
        <f>LEN(B41)</f>
        <v>34</v>
      </c>
      <c r="P41" t="str">
        <f>IF(O41&gt;72,"Description longer than 72 characters","OK")</f>
        <v>OK</v>
      </c>
    </row>
    <row r="42" spans="1:16" x14ac:dyDescent="0.25">
      <c r="A42" s="2" t="s">
        <v>11</v>
      </c>
      <c r="B42" s="50" t="str">
        <f>IF(E17="",N25,"")</f>
        <v/>
      </c>
      <c r="C42" t="str">
        <f>IF($B$5="Canada","CAD",IF($B$5="USA","USD","Select Country First"))</f>
        <v>CAD</v>
      </c>
    </row>
    <row r="43" spans="1:16" x14ac:dyDescent="0.25">
      <c r="A43" s="2" t="s">
        <v>16</v>
      </c>
      <c r="B43" s="14"/>
    </row>
    <row r="44" spans="1:16" x14ac:dyDescent="0.25">
      <c r="A44" s="2" t="s">
        <v>17</v>
      </c>
      <c r="B44" s="50" t="str">
        <f>IFERROR(IF(ISBLANK(B43),"",B42*B43),"")</f>
        <v/>
      </c>
      <c r="C44" t="str">
        <f>C42</f>
        <v>CAD</v>
      </c>
    </row>
  </sheetData>
  <sheetProtection algorithmName="SHA-512" hashValue="G/682nbbl4hn9GNAZP+PMUtImgkAmewyC4EPxvPeRm6Vc2guLmKSmb+M3R9XEO0Gmi9BpAUyhuNa5LM5IHuFIQ==" saltValue="i6dMGegSEsM7KQn2JCS8ww==" spinCount="100000" sheet="1" objects="1" scenarios="1"/>
  <customSheetViews>
    <customSheetView guid="{3D818CDD-1138-4CEC-9E38-71A86998A628}" showGridLines="0" fitToPage="1" printArea="1">
      <selection activeCell="B7" sqref="B7"/>
      <pageMargins left="0.7" right="0.7" top="0.75" bottom="0.75" header="0.3" footer="0.3"/>
      <pageSetup scale="63" orientation="portrait" r:id="rId1"/>
    </customSheetView>
    <customSheetView guid="{34F90286-F076-42FE-8B9A-459ED7A2CFE9}" showGridLines="0" fitToPage="1" printArea="1">
      <selection activeCell="B7" sqref="B7"/>
      <pageMargins left="0.7" right="0.7" top="0.75" bottom="0.75" header="0.3" footer="0.3"/>
      <pageSetup scale="63" orientation="portrait" r:id="rId2"/>
    </customSheetView>
    <customSheetView guid="{AD529854-F0E6-4643-B652-60121491677F}" showGridLines="0" fitToPage="1" printArea="1">
      <selection activeCell="B7" sqref="B7"/>
      <pageMargins left="0.7" right="0.7" top="0.75" bottom="0.75" header="0.3" footer="0.3"/>
      <pageSetup scale="63" orientation="portrait" r:id="rId3"/>
    </customSheetView>
    <customSheetView guid="{5936C0E4-460B-44CE-85BC-8E2DB9BD1C86}" showGridLines="0" fitToPage="1" printArea="1" hiddenRows="1" hiddenColumns="1" topLeftCell="A5">
      <selection activeCell="A32" sqref="A32:XFD39"/>
      <pageMargins left="0.7" right="0.7" top="0.75" bottom="0.75" header="0.3" footer="0.3"/>
      <pageSetup scale="63" orientation="portrait" r:id="rId4"/>
    </customSheetView>
  </customSheetViews>
  <mergeCells count="4">
    <mergeCell ref="C9:H9"/>
    <mergeCell ref="E17:H20"/>
    <mergeCell ref="B41:H41"/>
    <mergeCell ref="D26:H26"/>
  </mergeCells>
  <dataValidations count="4">
    <dataValidation type="decimal" allowBlank="1" showInputMessage="1" showErrorMessage="1" sqref="B43" xr:uid="{00000000-0002-0000-0100-000001000000}">
      <formula1>0</formula1>
      <formula2>1</formula2>
    </dataValidation>
    <dataValidation type="list" allowBlank="1" showInputMessage="1" showErrorMessage="1" sqref="I28:I29" xr:uid="{00000000-0002-0000-0100-000002000000}">
      <formula1>$A$12:$A$15</formula1>
    </dataValidation>
    <dataValidation type="list" allowBlank="1" showInputMessage="1" showErrorMessage="1" sqref="B5" xr:uid="{00000000-0002-0000-0100-000003000000}">
      <formula1>$O$5:$O$6</formula1>
    </dataValidation>
    <dataValidation type="list" allowBlank="1" showInputMessage="1" showErrorMessage="1" sqref="B7" xr:uid="{69277E8A-CFC3-4D5E-9F4E-EDE39E5A417C}">
      <formula1>$Q$5:$Q$6</formula1>
    </dataValidation>
  </dataValidations>
  <pageMargins left="0.7" right="0.7" top="0.75" bottom="0.75" header="0.3" footer="0.3"/>
  <pageSetup scale="63"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9" r:id="rId8" name="Option Button 5">
              <controlPr defaultSize="0" autoFill="0" autoLine="0" autoPict="0">
                <anchor moveWithCells="1">
                  <from>
                    <xdr:col>2</xdr:col>
                    <xdr:colOff>190500</xdr:colOff>
                    <xdr:row>16</xdr:row>
                    <xdr:rowOff>19050</xdr:rowOff>
                  </from>
                  <to>
                    <xdr:col>2</xdr:col>
                    <xdr:colOff>428625</xdr:colOff>
                    <xdr:row>17</xdr:row>
                    <xdr:rowOff>9525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2</xdr:col>
                    <xdr:colOff>190500</xdr:colOff>
                    <xdr:row>17</xdr:row>
                    <xdr:rowOff>9525</xdr:rowOff>
                  </from>
                  <to>
                    <xdr:col>2</xdr:col>
                    <xdr:colOff>428625</xdr:colOff>
                    <xdr:row>18</xdr:row>
                    <xdr:rowOff>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2</xdr:col>
                    <xdr:colOff>190500</xdr:colOff>
                    <xdr:row>18</xdr:row>
                    <xdr:rowOff>9525</xdr:rowOff>
                  </from>
                  <to>
                    <xdr:col>2</xdr:col>
                    <xdr:colOff>428625</xdr:colOff>
                    <xdr:row>19</xdr:row>
                    <xdr:rowOff>0</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2</xdr:col>
                    <xdr:colOff>190500</xdr:colOff>
                    <xdr:row>19</xdr:row>
                    <xdr:rowOff>9525</xdr:rowOff>
                  </from>
                  <to>
                    <xdr:col>2</xdr:col>
                    <xdr:colOff>428625</xdr:colOff>
                    <xdr:row>20</xdr:row>
                    <xdr:rowOff>0</xdr:rowOff>
                  </to>
                </anchor>
              </controlPr>
            </control>
          </mc:Choice>
        </mc:AlternateContent>
        <mc:AlternateContent xmlns:mc="http://schemas.openxmlformats.org/markup-compatibility/2006">
          <mc:Choice Requires="x14">
            <control shapeId="1042" r:id="rId12" name="Group Box 18">
              <controlPr defaultSize="0" autoFill="0" autoPict="0" altText="">
                <anchor moveWithCells="1">
                  <from>
                    <xdr:col>2</xdr:col>
                    <xdr:colOff>0</xdr:colOff>
                    <xdr:row>16</xdr:row>
                    <xdr:rowOff>0</xdr:rowOff>
                  </from>
                  <to>
                    <xdr:col>3</xdr:col>
                    <xdr:colOff>0</xdr:colOff>
                    <xdr:row>20</xdr:row>
                    <xdr:rowOff>0</xdr:rowOff>
                  </to>
                </anchor>
              </controlPr>
            </control>
          </mc:Choice>
        </mc:AlternateContent>
        <mc:AlternateContent xmlns:mc="http://schemas.openxmlformats.org/markup-compatibility/2006">
          <mc:Choice Requires="x14">
            <control shapeId="1045" r:id="rId13" name="Option Button 21">
              <controlPr defaultSize="0" autoFill="0" autoLine="0" autoPict="0">
                <anchor moveWithCells="1">
                  <from>
                    <xdr:col>3</xdr:col>
                    <xdr:colOff>190500</xdr:colOff>
                    <xdr:row>10</xdr:row>
                    <xdr:rowOff>9525</xdr:rowOff>
                  </from>
                  <to>
                    <xdr:col>3</xdr:col>
                    <xdr:colOff>428625</xdr:colOff>
                    <xdr:row>11</xdr:row>
                    <xdr:rowOff>0</xdr:rowOff>
                  </to>
                </anchor>
              </controlPr>
            </control>
          </mc:Choice>
        </mc:AlternateContent>
        <mc:AlternateContent xmlns:mc="http://schemas.openxmlformats.org/markup-compatibility/2006">
          <mc:Choice Requires="x14">
            <control shapeId="1048" r:id="rId14" name="Option Button 24">
              <controlPr defaultSize="0" autoFill="0" autoLine="0" autoPict="0">
                <anchor moveWithCells="1">
                  <from>
                    <xdr:col>3</xdr:col>
                    <xdr:colOff>190500</xdr:colOff>
                    <xdr:row>13</xdr:row>
                    <xdr:rowOff>9525</xdr:rowOff>
                  </from>
                  <to>
                    <xdr:col>3</xdr:col>
                    <xdr:colOff>428625</xdr:colOff>
                    <xdr:row>14</xdr:row>
                    <xdr:rowOff>0</xdr:rowOff>
                  </to>
                </anchor>
              </controlPr>
            </control>
          </mc:Choice>
        </mc:AlternateContent>
        <mc:AlternateContent xmlns:mc="http://schemas.openxmlformats.org/markup-compatibility/2006">
          <mc:Choice Requires="x14">
            <control shapeId="1049" r:id="rId15" name="Option Button 25">
              <controlPr defaultSize="0" autoFill="0" autoLine="0" autoPict="0">
                <anchor moveWithCells="1">
                  <from>
                    <xdr:col>3</xdr:col>
                    <xdr:colOff>190500</xdr:colOff>
                    <xdr:row>14</xdr:row>
                    <xdr:rowOff>9525</xdr:rowOff>
                  </from>
                  <to>
                    <xdr:col>3</xdr:col>
                    <xdr:colOff>428625</xdr:colOff>
                    <xdr:row>14</xdr:row>
                    <xdr:rowOff>190500</xdr:rowOff>
                  </to>
                </anchor>
              </controlPr>
            </control>
          </mc:Choice>
        </mc:AlternateContent>
        <mc:AlternateContent xmlns:mc="http://schemas.openxmlformats.org/markup-compatibility/2006">
          <mc:Choice Requires="x14">
            <control shapeId="1050" r:id="rId16" name="Group Box 26">
              <controlPr defaultSize="0" autoFill="0" autoPict="0">
                <anchor moveWithCells="1">
                  <from>
                    <xdr:col>3</xdr:col>
                    <xdr:colOff>0</xdr:colOff>
                    <xdr:row>10</xdr:row>
                    <xdr:rowOff>0</xdr:rowOff>
                  </from>
                  <to>
                    <xdr:col>4</xdr:col>
                    <xdr:colOff>0</xdr:colOff>
                    <xdr:row>15</xdr:row>
                    <xdr:rowOff>0</xdr:rowOff>
                  </to>
                </anchor>
              </controlPr>
            </control>
          </mc:Choice>
        </mc:AlternateContent>
        <mc:AlternateContent xmlns:mc="http://schemas.openxmlformats.org/markup-compatibility/2006">
          <mc:Choice Requires="x14">
            <control shapeId="1051" r:id="rId17" name="Option Button 27">
              <controlPr defaultSize="0" autoFill="0" autoLine="0" autoPict="0">
                <anchor moveWithCells="1">
                  <from>
                    <xdr:col>4</xdr:col>
                    <xdr:colOff>190500</xdr:colOff>
                    <xdr:row>10</xdr:row>
                    <xdr:rowOff>9525</xdr:rowOff>
                  </from>
                  <to>
                    <xdr:col>4</xdr:col>
                    <xdr:colOff>428625</xdr:colOff>
                    <xdr:row>11</xdr:row>
                    <xdr:rowOff>0</xdr:rowOff>
                  </to>
                </anchor>
              </controlPr>
            </control>
          </mc:Choice>
        </mc:AlternateContent>
        <mc:AlternateContent xmlns:mc="http://schemas.openxmlformats.org/markup-compatibility/2006">
          <mc:Choice Requires="x14">
            <control shapeId="1054" r:id="rId18" name="Option Button 30">
              <controlPr defaultSize="0" autoFill="0" autoLine="0" autoPict="0">
                <anchor moveWithCells="1">
                  <from>
                    <xdr:col>4</xdr:col>
                    <xdr:colOff>190500</xdr:colOff>
                    <xdr:row>13</xdr:row>
                    <xdr:rowOff>9525</xdr:rowOff>
                  </from>
                  <to>
                    <xdr:col>4</xdr:col>
                    <xdr:colOff>428625</xdr:colOff>
                    <xdr:row>14</xdr:row>
                    <xdr:rowOff>0</xdr:rowOff>
                  </to>
                </anchor>
              </controlPr>
            </control>
          </mc:Choice>
        </mc:AlternateContent>
        <mc:AlternateContent xmlns:mc="http://schemas.openxmlformats.org/markup-compatibility/2006">
          <mc:Choice Requires="x14">
            <control shapeId="1055" r:id="rId19" name="Option Button 31">
              <controlPr defaultSize="0" autoFill="0" autoLine="0" autoPict="0">
                <anchor moveWithCells="1">
                  <from>
                    <xdr:col>4</xdr:col>
                    <xdr:colOff>190500</xdr:colOff>
                    <xdr:row>14</xdr:row>
                    <xdr:rowOff>9525</xdr:rowOff>
                  </from>
                  <to>
                    <xdr:col>4</xdr:col>
                    <xdr:colOff>428625</xdr:colOff>
                    <xdr:row>14</xdr:row>
                    <xdr:rowOff>190500</xdr:rowOff>
                  </to>
                </anchor>
              </controlPr>
            </control>
          </mc:Choice>
        </mc:AlternateContent>
        <mc:AlternateContent xmlns:mc="http://schemas.openxmlformats.org/markup-compatibility/2006">
          <mc:Choice Requires="x14">
            <control shapeId="1056" r:id="rId20" name="Group Box 32">
              <controlPr defaultSize="0" autoFill="0" autoPict="0">
                <anchor moveWithCells="1">
                  <from>
                    <xdr:col>4</xdr:col>
                    <xdr:colOff>0</xdr:colOff>
                    <xdr:row>10</xdr:row>
                    <xdr:rowOff>0</xdr:rowOff>
                  </from>
                  <to>
                    <xdr:col>5</xdr:col>
                    <xdr:colOff>0</xdr:colOff>
                    <xdr:row>15</xdr:row>
                    <xdr:rowOff>0</xdr:rowOff>
                  </to>
                </anchor>
              </controlPr>
            </control>
          </mc:Choice>
        </mc:AlternateContent>
        <mc:AlternateContent xmlns:mc="http://schemas.openxmlformats.org/markup-compatibility/2006">
          <mc:Choice Requires="x14">
            <control shapeId="1057" r:id="rId21" name="Option Button 33">
              <controlPr defaultSize="0" autoFill="0" autoLine="0" autoPict="0">
                <anchor moveWithCells="1">
                  <from>
                    <xdr:col>5</xdr:col>
                    <xdr:colOff>190500</xdr:colOff>
                    <xdr:row>10</xdr:row>
                    <xdr:rowOff>9525</xdr:rowOff>
                  </from>
                  <to>
                    <xdr:col>5</xdr:col>
                    <xdr:colOff>428625</xdr:colOff>
                    <xdr:row>11</xdr:row>
                    <xdr:rowOff>0</xdr:rowOff>
                  </to>
                </anchor>
              </controlPr>
            </control>
          </mc:Choice>
        </mc:AlternateContent>
        <mc:AlternateContent xmlns:mc="http://schemas.openxmlformats.org/markup-compatibility/2006">
          <mc:Choice Requires="x14">
            <control shapeId="1059" r:id="rId22" name="Option Button 35">
              <controlPr defaultSize="0" autoFill="0" autoLine="0" autoPict="0">
                <anchor moveWithCells="1">
                  <from>
                    <xdr:col>5</xdr:col>
                    <xdr:colOff>190500</xdr:colOff>
                    <xdr:row>12</xdr:row>
                    <xdr:rowOff>9525</xdr:rowOff>
                  </from>
                  <to>
                    <xdr:col>5</xdr:col>
                    <xdr:colOff>428625</xdr:colOff>
                    <xdr:row>13</xdr:row>
                    <xdr:rowOff>0</xdr:rowOff>
                  </to>
                </anchor>
              </controlPr>
            </control>
          </mc:Choice>
        </mc:AlternateContent>
        <mc:AlternateContent xmlns:mc="http://schemas.openxmlformats.org/markup-compatibility/2006">
          <mc:Choice Requires="x14">
            <control shapeId="1060" r:id="rId23" name="Option Button 36">
              <controlPr defaultSize="0" autoFill="0" autoLine="0" autoPict="0">
                <anchor moveWithCells="1">
                  <from>
                    <xdr:col>5</xdr:col>
                    <xdr:colOff>190500</xdr:colOff>
                    <xdr:row>13</xdr:row>
                    <xdr:rowOff>9525</xdr:rowOff>
                  </from>
                  <to>
                    <xdr:col>5</xdr:col>
                    <xdr:colOff>428625</xdr:colOff>
                    <xdr:row>14</xdr:row>
                    <xdr:rowOff>0</xdr:rowOff>
                  </to>
                </anchor>
              </controlPr>
            </control>
          </mc:Choice>
        </mc:AlternateContent>
        <mc:AlternateContent xmlns:mc="http://schemas.openxmlformats.org/markup-compatibility/2006">
          <mc:Choice Requires="x14">
            <control shapeId="1061" r:id="rId24" name="Option Button 37">
              <controlPr defaultSize="0" autoFill="0" autoLine="0" autoPict="0">
                <anchor moveWithCells="1">
                  <from>
                    <xdr:col>5</xdr:col>
                    <xdr:colOff>190500</xdr:colOff>
                    <xdr:row>14</xdr:row>
                    <xdr:rowOff>9525</xdr:rowOff>
                  </from>
                  <to>
                    <xdr:col>5</xdr:col>
                    <xdr:colOff>428625</xdr:colOff>
                    <xdr:row>14</xdr:row>
                    <xdr:rowOff>190500</xdr:rowOff>
                  </to>
                </anchor>
              </controlPr>
            </control>
          </mc:Choice>
        </mc:AlternateContent>
        <mc:AlternateContent xmlns:mc="http://schemas.openxmlformats.org/markup-compatibility/2006">
          <mc:Choice Requires="x14">
            <control shapeId="1062" r:id="rId25" name="Group Box 38">
              <controlPr defaultSize="0" autoFill="0" autoPict="0">
                <anchor moveWithCells="1">
                  <from>
                    <xdr:col>5</xdr:col>
                    <xdr:colOff>0</xdr:colOff>
                    <xdr:row>10</xdr:row>
                    <xdr:rowOff>0</xdr:rowOff>
                  </from>
                  <to>
                    <xdr:col>6</xdr:col>
                    <xdr:colOff>0</xdr:colOff>
                    <xdr:row>15</xdr:row>
                    <xdr:rowOff>0</xdr:rowOff>
                  </to>
                </anchor>
              </controlPr>
            </control>
          </mc:Choice>
        </mc:AlternateContent>
        <mc:AlternateContent xmlns:mc="http://schemas.openxmlformats.org/markup-compatibility/2006">
          <mc:Choice Requires="x14">
            <control shapeId="1063" r:id="rId26" name="Option Button 39">
              <controlPr defaultSize="0" autoFill="0" autoLine="0" autoPict="0">
                <anchor moveWithCells="1">
                  <from>
                    <xdr:col>6</xdr:col>
                    <xdr:colOff>200025</xdr:colOff>
                    <xdr:row>10</xdr:row>
                    <xdr:rowOff>9525</xdr:rowOff>
                  </from>
                  <to>
                    <xdr:col>6</xdr:col>
                    <xdr:colOff>438150</xdr:colOff>
                    <xdr:row>11</xdr:row>
                    <xdr:rowOff>0</xdr:rowOff>
                  </to>
                </anchor>
              </controlPr>
            </control>
          </mc:Choice>
        </mc:AlternateContent>
        <mc:AlternateContent xmlns:mc="http://schemas.openxmlformats.org/markup-compatibility/2006">
          <mc:Choice Requires="x14">
            <control shapeId="1065" r:id="rId27" name="Option Button 41">
              <controlPr defaultSize="0" autoFill="0" autoLine="0" autoPict="0">
                <anchor moveWithCells="1">
                  <from>
                    <xdr:col>6</xdr:col>
                    <xdr:colOff>190500</xdr:colOff>
                    <xdr:row>12</xdr:row>
                    <xdr:rowOff>9525</xdr:rowOff>
                  </from>
                  <to>
                    <xdr:col>6</xdr:col>
                    <xdr:colOff>428625</xdr:colOff>
                    <xdr:row>13</xdr:row>
                    <xdr:rowOff>0</xdr:rowOff>
                  </to>
                </anchor>
              </controlPr>
            </control>
          </mc:Choice>
        </mc:AlternateContent>
        <mc:AlternateContent xmlns:mc="http://schemas.openxmlformats.org/markup-compatibility/2006">
          <mc:Choice Requires="x14">
            <control shapeId="1066" r:id="rId28" name="Option Button 42">
              <controlPr defaultSize="0" autoFill="0" autoLine="0" autoPict="0">
                <anchor moveWithCells="1">
                  <from>
                    <xdr:col>6</xdr:col>
                    <xdr:colOff>190500</xdr:colOff>
                    <xdr:row>13</xdr:row>
                    <xdr:rowOff>9525</xdr:rowOff>
                  </from>
                  <to>
                    <xdr:col>6</xdr:col>
                    <xdr:colOff>428625</xdr:colOff>
                    <xdr:row>14</xdr:row>
                    <xdr:rowOff>0</xdr:rowOff>
                  </to>
                </anchor>
              </controlPr>
            </control>
          </mc:Choice>
        </mc:AlternateContent>
        <mc:AlternateContent xmlns:mc="http://schemas.openxmlformats.org/markup-compatibility/2006">
          <mc:Choice Requires="x14">
            <control shapeId="1067" r:id="rId29" name="Option Button 43">
              <controlPr defaultSize="0" autoFill="0" autoLine="0" autoPict="0">
                <anchor moveWithCells="1">
                  <from>
                    <xdr:col>6</xdr:col>
                    <xdr:colOff>190500</xdr:colOff>
                    <xdr:row>14</xdr:row>
                    <xdr:rowOff>9525</xdr:rowOff>
                  </from>
                  <to>
                    <xdr:col>6</xdr:col>
                    <xdr:colOff>428625</xdr:colOff>
                    <xdr:row>14</xdr:row>
                    <xdr:rowOff>190500</xdr:rowOff>
                  </to>
                </anchor>
              </controlPr>
            </control>
          </mc:Choice>
        </mc:AlternateContent>
        <mc:AlternateContent xmlns:mc="http://schemas.openxmlformats.org/markup-compatibility/2006">
          <mc:Choice Requires="x14">
            <control shapeId="1068" r:id="rId30" name="Group Box 44">
              <controlPr defaultSize="0" autoFill="0" autoPict="0">
                <anchor moveWithCells="1">
                  <from>
                    <xdr:col>6</xdr:col>
                    <xdr:colOff>0</xdr:colOff>
                    <xdr:row>10</xdr:row>
                    <xdr:rowOff>0</xdr:rowOff>
                  </from>
                  <to>
                    <xdr:col>7</xdr:col>
                    <xdr:colOff>0</xdr:colOff>
                    <xdr:row>15</xdr:row>
                    <xdr:rowOff>0</xdr:rowOff>
                  </to>
                </anchor>
              </controlPr>
            </control>
          </mc:Choice>
        </mc:AlternateContent>
        <mc:AlternateContent xmlns:mc="http://schemas.openxmlformats.org/markup-compatibility/2006">
          <mc:Choice Requires="x14">
            <control shapeId="1070" r:id="rId31" name="Option Button 46">
              <controlPr defaultSize="0" autoFill="0" autoLine="0" autoPict="0">
                <anchor moveWithCells="1">
                  <from>
                    <xdr:col>7</xdr:col>
                    <xdr:colOff>190500</xdr:colOff>
                    <xdr:row>11</xdr:row>
                    <xdr:rowOff>0</xdr:rowOff>
                  </from>
                  <to>
                    <xdr:col>7</xdr:col>
                    <xdr:colOff>428625</xdr:colOff>
                    <xdr:row>11</xdr:row>
                    <xdr:rowOff>180975</xdr:rowOff>
                  </to>
                </anchor>
              </controlPr>
            </control>
          </mc:Choice>
        </mc:AlternateContent>
        <mc:AlternateContent xmlns:mc="http://schemas.openxmlformats.org/markup-compatibility/2006">
          <mc:Choice Requires="x14">
            <control shapeId="1071" r:id="rId32" name="Option Button 47">
              <controlPr defaultSize="0" autoFill="0" autoLine="0" autoPict="0">
                <anchor moveWithCells="1">
                  <from>
                    <xdr:col>7</xdr:col>
                    <xdr:colOff>190500</xdr:colOff>
                    <xdr:row>12</xdr:row>
                    <xdr:rowOff>9525</xdr:rowOff>
                  </from>
                  <to>
                    <xdr:col>7</xdr:col>
                    <xdr:colOff>428625</xdr:colOff>
                    <xdr:row>13</xdr:row>
                    <xdr:rowOff>0</xdr:rowOff>
                  </to>
                </anchor>
              </controlPr>
            </control>
          </mc:Choice>
        </mc:AlternateContent>
        <mc:AlternateContent xmlns:mc="http://schemas.openxmlformats.org/markup-compatibility/2006">
          <mc:Choice Requires="x14">
            <control shapeId="1072" r:id="rId33" name="Option Button 48">
              <controlPr defaultSize="0" autoFill="0" autoLine="0" autoPict="0">
                <anchor moveWithCells="1">
                  <from>
                    <xdr:col>7</xdr:col>
                    <xdr:colOff>190500</xdr:colOff>
                    <xdr:row>13</xdr:row>
                    <xdr:rowOff>9525</xdr:rowOff>
                  </from>
                  <to>
                    <xdr:col>7</xdr:col>
                    <xdr:colOff>428625</xdr:colOff>
                    <xdr:row>14</xdr:row>
                    <xdr:rowOff>0</xdr:rowOff>
                  </to>
                </anchor>
              </controlPr>
            </control>
          </mc:Choice>
        </mc:AlternateContent>
        <mc:AlternateContent xmlns:mc="http://schemas.openxmlformats.org/markup-compatibility/2006">
          <mc:Choice Requires="x14">
            <control shapeId="1073" r:id="rId34" name="Option Button 49">
              <controlPr defaultSize="0" autoFill="0" autoLine="0" autoPict="0">
                <anchor moveWithCells="1">
                  <from>
                    <xdr:col>7</xdr:col>
                    <xdr:colOff>190500</xdr:colOff>
                    <xdr:row>14</xdr:row>
                    <xdr:rowOff>9525</xdr:rowOff>
                  </from>
                  <to>
                    <xdr:col>7</xdr:col>
                    <xdr:colOff>428625</xdr:colOff>
                    <xdr:row>14</xdr:row>
                    <xdr:rowOff>190500</xdr:rowOff>
                  </to>
                </anchor>
              </controlPr>
            </control>
          </mc:Choice>
        </mc:AlternateContent>
        <mc:AlternateContent xmlns:mc="http://schemas.openxmlformats.org/markup-compatibility/2006">
          <mc:Choice Requires="x14">
            <control shapeId="1074" r:id="rId35" name="Group Box 50">
              <controlPr defaultSize="0" autoFill="0" autoPict="0">
                <anchor moveWithCells="1">
                  <from>
                    <xdr:col>7</xdr:col>
                    <xdr:colOff>0</xdr:colOff>
                    <xdr:row>10</xdr:row>
                    <xdr:rowOff>0</xdr:rowOff>
                  </from>
                  <to>
                    <xdr:col>8</xdr:col>
                    <xdr:colOff>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Sizing</vt:lpstr>
      <vt:lpstr>Configuration Known</vt:lpstr>
      <vt:lpstr>'Configuration Known'!Print_Area</vt:lpstr>
      <vt:lpstr>Sizing!Print_Area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HeatLink</dc:creator>
  <cp:lastModifiedBy>Randall Quon</cp:lastModifiedBy>
  <cp:lastPrinted>2020-11-04T23:49:06Z</cp:lastPrinted>
  <dcterms:created xsi:type="dcterms:W3CDTF">2017-01-09T18:36:32Z</dcterms:created>
  <dcterms:modified xsi:type="dcterms:W3CDTF">2023-05-30T23:13:54Z</dcterms:modified>
</cp:coreProperties>
</file>